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DATA\2027\PBCS Instructions\"/>
    </mc:Choice>
  </mc:AlternateContent>
  <xr:revisionPtr revIDLastSave="0" documentId="13_ncr:1_{D3F3A68B-338B-4154-BA85-55F15C4FE253}" xr6:coauthVersionLast="47" xr6:coauthVersionMax="47" xr10:uidLastSave="{00000000-0000-0000-0000-000000000000}"/>
  <bookViews>
    <workbookView xWindow="25080" yWindow="-120" windowWidth="29040" windowHeight="15720" activeTab="1" xr2:uid="{00000000-000D-0000-FFFF-FFFF00000000}"/>
  </bookViews>
  <sheets>
    <sheet name="By Position (FY2025)" sheetId="1" r:id="rId1"/>
    <sheet name="By Position (FY2026)" sheetId="3" r:id="rId2"/>
    <sheet name="By Position (FY2027)" sheetId="4" r:id="rId3"/>
    <sheet name="redux if necessary"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E21" i="4"/>
  <c r="M26" i="4"/>
  <c r="L26" i="4"/>
  <c r="K26" i="4"/>
  <c r="F16" i="4"/>
  <c r="E16" i="4"/>
  <c r="D16" i="4"/>
  <c r="F13" i="4"/>
  <c r="E13" i="4"/>
  <c r="D13" i="4"/>
  <c r="F12" i="4"/>
  <c r="E12" i="4"/>
  <c r="D12" i="4"/>
  <c r="F11" i="4"/>
  <c r="E11" i="4"/>
  <c r="D11" i="4"/>
  <c r="F10" i="4"/>
  <c r="E10" i="4"/>
  <c r="D10" i="4"/>
  <c r="F9" i="4"/>
  <c r="E9" i="4"/>
  <c r="D9" i="4"/>
  <c r="F8" i="4"/>
  <c r="E8" i="4"/>
  <c r="D8" i="4"/>
  <c r="F7" i="4"/>
  <c r="E7" i="4"/>
  <c r="D7" i="4"/>
  <c r="F5" i="4"/>
  <c r="E5" i="4"/>
  <c r="D5" i="4"/>
  <c r="M26" i="3"/>
  <c r="D16" i="3"/>
  <c r="F16" i="1"/>
  <c r="L26" i="3"/>
  <c r="K26" i="3"/>
  <c r="F13" i="3"/>
  <c r="E13" i="3"/>
  <c r="D13" i="3"/>
  <c r="F12" i="3"/>
  <c r="E12" i="3"/>
  <c r="D12" i="3"/>
  <c r="F11" i="3"/>
  <c r="E11" i="3"/>
  <c r="D11" i="3"/>
  <c r="F10" i="3"/>
  <c r="E10" i="3"/>
  <c r="D10" i="3"/>
  <c r="F9" i="3"/>
  <c r="E9" i="3"/>
  <c r="D9" i="3"/>
  <c r="F8" i="3"/>
  <c r="E8" i="3"/>
  <c r="D8" i="3"/>
  <c r="F7" i="3"/>
  <c r="E7" i="3"/>
  <c r="D7" i="3"/>
  <c r="F5" i="3"/>
  <c r="E5" i="3"/>
  <c r="D5" i="3"/>
  <c r="D18" i="4" l="1"/>
  <c r="D19" i="4" s="1"/>
  <c r="E18" i="4"/>
  <c r="E19" i="4" s="1"/>
  <c r="F18" i="4"/>
  <c r="F19" i="4" s="1"/>
  <c r="F16" i="3"/>
  <c r="F18" i="3" s="1"/>
  <c r="F19" i="3" s="1"/>
  <c r="D16" i="1"/>
  <c r="E16" i="1"/>
  <c r="E23" i="3"/>
  <c r="E21" i="3"/>
  <c r="D18" i="3"/>
  <c r="D19" i="3" s="1"/>
  <c r="E16" i="3"/>
  <c r="E18" i="3" s="1"/>
  <c r="E19" i="3" s="1"/>
  <c r="D7" i="1"/>
  <c r="M26" i="1"/>
  <c r="L26" i="1"/>
  <c r="K26" i="1"/>
  <c r="O4" i="2"/>
  <c r="N4" i="2"/>
  <c r="M4" i="2"/>
  <c r="O1" i="2"/>
  <c r="N1" i="2"/>
  <c r="M1" i="2"/>
  <c r="T13" i="2"/>
  <c r="S13" i="2"/>
  <c r="R13" i="2"/>
  <c r="Q13" i="2"/>
  <c r="P13" i="2"/>
  <c r="O13" i="2"/>
  <c r="N13" i="2"/>
  <c r="M13" i="2"/>
  <c r="I6" i="2"/>
  <c r="J6" i="2"/>
  <c r="G7" i="2"/>
  <c r="K11" i="2"/>
  <c r="B19" i="2"/>
  <c r="B23" i="2" s="1"/>
  <c r="C23" i="2"/>
  <c r="E24" i="2"/>
  <c r="I25" i="2"/>
  <c r="C26" i="2"/>
  <c r="G26" i="2"/>
  <c r="H7" i="2" l="1"/>
  <c r="C9" i="2" s="1"/>
  <c r="J7" i="2" l="1"/>
  <c r="M10" i="2" l="1"/>
  <c r="H11" i="2" s="1"/>
  <c r="D5" i="1"/>
  <c r="E5" i="1"/>
  <c r="F5" i="1"/>
  <c r="E7" i="1"/>
  <c r="F7" i="1"/>
  <c r="D8" i="1"/>
  <c r="E8" i="1"/>
  <c r="F8" i="1"/>
  <c r="D9" i="1"/>
  <c r="E9" i="1"/>
  <c r="F9" i="1"/>
  <c r="D10" i="1"/>
  <c r="E10" i="1"/>
  <c r="F10" i="1"/>
  <c r="D11" i="1"/>
  <c r="E11" i="1"/>
  <c r="F11" i="1"/>
  <c r="D12" i="1"/>
  <c r="E12" i="1"/>
  <c r="F12" i="1"/>
  <c r="D13" i="1"/>
  <c r="E13" i="1"/>
  <c r="F13" i="1"/>
  <c r="J11" i="2" l="1"/>
  <c r="C12" i="2"/>
  <c r="E21" i="1"/>
  <c r="E23" i="1"/>
  <c r="D18" i="1"/>
  <c r="D19" i="1" s="1"/>
  <c r="F18" i="1"/>
  <c r="F19" i="1" s="1"/>
  <c r="E18" i="1"/>
  <c r="E19" i="1" s="1"/>
  <c r="G12" i="2" l="1"/>
  <c r="G25" i="2" s="1"/>
  <c r="B24" i="2"/>
  <c r="H12" i="2"/>
  <c r="J12" i="2" l="1"/>
  <c r="J16" i="2" s="1"/>
</calcChain>
</file>

<file path=xl/sharedStrings.xml><?xml version="1.0" encoding="utf-8"?>
<sst xmlns="http://schemas.openxmlformats.org/spreadsheetml/2006/main" count="175" uniqueCount="86">
  <si>
    <t>No GHI / SLRA/WCI/VLN</t>
  </si>
  <si>
    <t>Student</t>
  </si>
  <si>
    <t>No GHI / TIAA Only</t>
  </si>
  <si>
    <t>Pool</t>
  </si>
  <si>
    <t>Full time</t>
  </si>
  <si>
    <t>VLN</t>
  </si>
  <si>
    <t>Worker's Comp</t>
  </si>
  <si>
    <t>SLRA</t>
  </si>
  <si>
    <t>Unemployment</t>
  </si>
  <si>
    <t>Medicare</t>
  </si>
  <si>
    <t>OASDI</t>
  </si>
  <si>
    <t>D&amp;D</t>
  </si>
  <si>
    <t>Salary</t>
  </si>
  <si>
    <t>Filled Position</t>
  </si>
  <si>
    <t>GHI - FTE</t>
  </si>
  <si>
    <t>Instructions</t>
  </si>
  <si>
    <t xml:space="preserve">The Fringe calculator is intended to calculate fringe totals based on salary amount and FTE total. </t>
  </si>
  <si>
    <t>Enter a Salary Amount</t>
  </si>
  <si>
    <t>Enter a FTE Amount</t>
  </si>
  <si>
    <t>KPERS Retirement</t>
  </si>
  <si>
    <t>TIAA Retirement</t>
  </si>
  <si>
    <t>KP&amp;F Retirement</t>
  </si>
  <si>
    <t>Fringe Percentages</t>
  </si>
  <si>
    <t>Annual GHI Estimate</t>
  </si>
  <si>
    <t>Total Fringe</t>
  </si>
  <si>
    <t>Total Salary + Fringe</t>
  </si>
  <si>
    <t>Once entered the sheet will provide a calculated estimate of fringe cost for a particular position</t>
  </si>
  <si>
    <t>Footnotes</t>
  </si>
  <si>
    <t>The calculator assumes Single health insurance, not Family.  If precise estimates are needed, an analysis via Payroll at a Glance would be necessary and adjustments made accordingly</t>
  </si>
  <si>
    <t>This calculator assumes annual GHI estimates, not partial.  In the event fringe calculations are requested for a position being moved off of fund 099 onto another fund on Oct. 1 – (after the year has started), some of the annual GHI will have already been absorbed by fund 099.  Thus, the number of pay periods already charged would have to be determined and also the number of pay periods remaining which will charge GHI to zero on the proportion of the annual number.   Meaning, if 4 pay periods of GHI have already been charged to 099, a calculated 22/26ths of the annual amount would be utilized to derive the estimate</t>
  </si>
  <si>
    <t>RDXS</t>
  </si>
  <si>
    <t>Positions &amp; OOE</t>
  </si>
  <si>
    <t>RDX</t>
  </si>
  <si>
    <t xml:space="preserve">&lt;== if the salaries you throw in as your examples to cut happen to overcut, move some of your position savings to a pool </t>
  </si>
  <si>
    <t>avail salary</t>
  </si>
  <si>
    <t xml:space="preserve">Lecturer pool </t>
  </si>
  <si>
    <t>Posn 2</t>
  </si>
  <si>
    <t>Posn 1</t>
  </si>
  <si>
    <t>FY21 Salary</t>
  </si>
  <si>
    <t>Sample</t>
  </si>
  <si>
    <t>WCI</t>
  </si>
  <si>
    <t>UCI</t>
  </si>
  <si>
    <t>TIAA</t>
  </si>
  <si>
    <t>Death &amp; Dis</t>
  </si>
  <si>
    <t>for salary inc non health fringes</t>
  </si>
  <si>
    <t xml:space="preserve">Calculated amount to give up in salary on positions and pools (L U) </t>
  </si>
  <si>
    <t xml:space="preserve">E </t>
  </si>
  <si>
    <t>KU Leave Reserve Fund</t>
  </si>
  <si>
    <t>State Leave Reserve Fund</t>
  </si>
  <si>
    <t>Worker's Comp Insurance</t>
  </si>
  <si>
    <t>Unemployment Compensation Tax</t>
  </si>
  <si>
    <t>Regents Retirement</t>
  </si>
  <si>
    <t>for health (based on FTE)</t>
  </si>
  <si>
    <t>How much will give up in FTE</t>
  </si>
  <si>
    <t>D</t>
  </si>
  <si>
    <t>Semi Monthly Rate</t>
  </si>
  <si>
    <t>GHI</t>
  </si>
  <si>
    <t>Remaining reduction to positions/pools (and fringes)</t>
  </si>
  <si>
    <t>Group Health Insurance Employer Rates</t>
  </si>
  <si>
    <t xml:space="preserve">for student pools </t>
  </si>
  <si>
    <t>How much will you give up in Student Pools (G R S T )</t>
  </si>
  <si>
    <t>C</t>
  </si>
  <si>
    <t>% of Gross</t>
  </si>
  <si>
    <t>for OOE</t>
  </si>
  <si>
    <t>How much will you give up in OOE</t>
  </si>
  <si>
    <t>B</t>
  </si>
  <si>
    <t>Employer Cost</t>
  </si>
  <si>
    <t>Fringe Benefit Rates for Fiscal Year 2021</t>
  </si>
  <si>
    <t>099</t>
  </si>
  <si>
    <t xml:space="preserve">Total Target </t>
  </si>
  <si>
    <t>A</t>
  </si>
  <si>
    <t>https://payroll.ku.edu/fringe-benefit-rates-current</t>
  </si>
  <si>
    <t>REconFTE</t>
  </si>
  <si>
    <t>Total$$s</t>
  </si>
  <si>
    <t>ReconOOE</t>
  </si>
  <si>
    <t>ReconFringes</t>
  </si>
  <si>
    <t>ReconSalary</t>
  </si>
  <si>
    <t xml:space="preserve">Assumption is you know is (A) your target, you know how much (B) OOE you want to cut, how much ( C )  student pool $$ you want to cut and how much ( D) FTE you want to cut. This spreadsheet will tell you the (E )  amount to cut in salaries or unclass/Lecturer pools  </t>
  </si>
  <si>
    <t>Key Items in Green</t>
  </si>
  <si>
    <t>Variable Fringe Total</t>
  </si>
  <si>
    <t>KPERS</t>
  </si>
  <si>
    <t>KP&amp;F</t>
  </si>
  <si>
    <t>Below is the total percentage of all fringe categories based on retirement code</t>
  </si>
  <si>
    <t>FY 2025 ESTIMATED FRINGE RATES</t>
  </si>
  <si>
    <t>FY 2026 ESTIMATED FRINGE RATES</t>
  </si>
  <si>
    <t>FY 2027 ESTIMATED FRINGE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</si>
</sst>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0000_);_(* \(#,##0.0000\);_(* &quot;-&quot;??_);_(@_)"/>
    <numFmt numFmtId="165" formatCode="0.000000000000000%"/>
    <numFmt numFmtId="166" formatCode="0.000000_);[Red]\(0.000000\)"/>
    <numFmt numFmtId="167" formatCode="0.0%"/>
    <numFmt numFmtId="168" formatCode="0.000%"/>
    <numFmt numFmtId="169" formatCode="#,##0.000000_);[Red]\(#,##0.000000\)"/>
    <numFmt numFmtId="170" formatCode="_(* #,##0.00000_);_(* \(#,##0.00000\);_(* &quot;-&quot;??_);_(@_)"/>
    <numFmt numFmtId="171" formatCode="_(* #,##0_);_(* \(#,##0\);_(* &quot;-&quot;??_);_(@_)"/>
    <numFmt numFmtId="172" formatCode="0.0000%"/>
  </numFmts>
  <fonts count="13" x14ac:knownFonts="1">
    <font>
      <sz val="10"/>
      <name val="Arial"/>
      <family val="2"/>
    </font>
    <font>
      <sz val="11"/>
      <color theme="1"/>
      <name val="Calibri"/>
      <family val="2"/>
      <scheme val="minor"/>
    </font>
    <font>
      <sz val="10"/>
      <name val="Arial"/>
      <family val="2"/>
    </font>
    <font>
      <b/>
      <i/>
      <u/>
      <sz val="12"/>
      <name val="Arial"/>
      <family val="2"/>
    </font>
    <font>
      <sz val="12"/>
      <name val="Arial"/>
      <family val="2"/>
    </font>
    <font>
      <b/>
      <i/>
      <sz val="12"/>
      <name val="Arial"/>
      <family val="2"/>
    </font>
    <font>
      <b/>
      <sz val="12"/>
      <name val="Arial"/>
      <family val="2"/>
    </font>
    <font>
      <b/>
      <i/>
      <u val="singleAccounting"/>
      <sz val="12"/>
      <name val="Arial"/>
      <family val="2"/>
    </font>
    <font>
      <b/>
      <sz val="11"/>
      <color theme="1"/>
      <name val="Calibri"/>
      <family val="2"/>
      <scheme val="minor"/>
    </font>
    <font>
      <sz val="11"/>
      <color theme="0"/>
      <name val="Calibri"/>
      <family val="2"/>
      <scheme val="minor"/>
    </font>
    <font>
      <b/>
      <u/>
      <sz val="11"/>
      <color theme="1"/>
      <name val="Calibri"/>
      <family val="2"/>
      <scheme val="minor"/>
    </font>
    <font>
      <u/>
      <sz val="12"/>
      <name val="Arial"/>
      <family val="2"/>
    </font>
    <font>
      <sz val="10"/>
      <name val="Palatino Linotype"/>
      <family val="1"/>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00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123">
    <xf numFmtId="0" fontId="0" fillId="0" borderId="0" xfId="0"/>
    <xf numFmtId="0" fontId="4" fillId="0" borderId="0" xfId="0" applyFont="1"/>
    <xf numFmtId="43" fontId="4" fillId="0" borderId="0" xfId="0" applyNumberFormat="1" applyFont="1"/>
    <xf numFmtId="164" fontId="4" fillId="0" borderId="0" xfId="1" applyNumberFormat="1" applyFont="1"/>
    <xf numFmtId="0" fontId="5" fillId="0" borderId="0" xfId="0" applyFont="1"/>
    <xf numFmtId="43" fontId="4" fillId="0" borderId="0" xfId="1" applyFont="1"/>
    <xf numFmtId="43" fontId="4" fillId="4" borderId="0" xfId="1" applyFont="1" applyFill="1"/>
    <xf numFmtId="0" fontId="6" fillId="4" borderId="0" xfId="0" applyFont="1" applyFill="1"/>
    <xf numFmtId="164" fontId="5" fillId="2" borderId="0" xfId="0" applyNumberFormat="1" applyFont="1" applyFill="1" applyAlignment="1">
      <alignment horizontal="center"/>
    </xf>
    <xf numFmtId="164" fontId="5" fillId="2" borderId="0" xfId="1" applyNumberFormat="1" applyFont="1" applyFill="1" applyProtection="1"/>
    <xf numFmtId="164" fontId="4" fillId="2" borderId="0" xfId="1" applyNumberFormat="1" applyFont="1" applyFill="1" applyProtection="1"/>
    <xf numFmtId="43" fontId="4" fillId="2" borderId="0" xfId="1" applyFont="1" applyFill="1" applyProtection="1"/>
    <xf numFmtId="0" fontId="6" fillId="5" borderId="0" xfId="0" applyFont="1" applyFill="1"/>
    <xf numFmtId="43" fontId="6" fillId="5" borderId="0" xfId="0" applyNumberFormat="1" applyFont="1" applyFill="1"/>
    <xf numFmtId="43" fontId="4" fillId="3" borderId="0" xfId="1" applyFont="1" applyFill="1" applyProtection="1">
      <protection locked="0"/>
    </xf>
    <xf numFmtId="2" fontId="4" fillId="3" borderId="0" xfId="0" applyNumberFormat="1" applyFont="1" applyFill="1" applyProtection="1">
      <protection locked="0"/>
    </xf>
    <xf numFmtId="43" fontId="7" fillId="2" borderId="0" xfId="0" applyNumberFormat="1" applyFont="1" applyFill="1" applyAlignment="1">
      <alignment horizontal="right" wrapText="1"/>
    </xf>
    <xf numFmtId="43" fontId="7" fillId="2" borderId="0" xfId="0" applyNumberFormat="1" applyFont="1" applyFill="1" applyAlignment="1">
      <alignment horizontal="right"/>
    </xf>
    <xf numFmtId="164" fontId="7" fillId="2" borderId="0" xfId="1" applyNumberFormat="1" applyFont="1" applyFill="1" applyAlignment="1" applyProtection="1">
      <alignment wrapText="1"/>
    </xf>
    <xf numFmtId="0" fontId="4" fillId="2" borderId="1" xfId="0"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xf numFmtId="0" fontId="4" fillId="2" borderId="5" xfId="0" applyFont="1" applyFill="1" applyBorder="1"/>
    <xf numFmtId="0" fontId="4" fillId="2" borderId="6" xfId="0" applyFont="1" applyFill="1" applyBorder="1"/>
    <xf numFmtId="0" fontId="4" fillId="3" borderId="0" xfId="0" applyFont="1" applyFill="1"/>
    <xf numFmtId="0" fontId="4" fillId="3" borderId="5" xfId="0" applyFont="1" applyFill="1" applyBorder="1"/>
    <xf numFmtId="0" fontId="1" fillId="0" borderId="0" xfId="2"/>
    <xf numFmtId="40" fontId="1" fillId="6" borderId="0" xfId="2" applyNumberFormat="1" applyFill="1"/>
    <xf numFmtId="40" fontId="1" fillId="0" borderId="0" xfId="2" applyNumberFormat="1"/>
    <xf numFmtId="44" fontId="0" fillId="0" borderId="0" xfId="3" applyFont="1"/>
    <xf numFmtId="43" fontId="0" fillId="0" borderId="0" xfId="4" applyFont="1"/>
    <xf numFmtId="165" fontId="1" fillId="0" borderId="0" xfId="2" applyNumberFormat="1"/>
    <xf numFmtId="40" fontId="1" fillId="0" borderId="0" xfId="2" applyNumberFormat="1" applyAlignment="1">
      <alignment wrapText="1"/>
    </xf>
    <xf numFmtId="10" fontId="1" fillId="0" borderId="0" xfId="2" applyNumberFormat="1"/>
    <xf numFmtId="166" fontId="1" fillId="0" borderId="0" xfId="2" applyNumberFormat="1"/>
    <xf numFmtId="43" fontId="8" fillId="0" borderId="0" xfId="4" applyFont="1"/>
    <xf numFmtId="44" fontId="8" fillId="0" borderId="0" xfId="3" applyFont="1"/>
    <xf numFmtId="167" fontId="0" fillId="0" borderId="0" xfId="5" applyNumberFormat="1" applyFont="1"/>
    <xf numFmtId="10" fontId="0" fillId="0" borderId="0" xfId="5" applyNumberFormat="1" applyFont="1"/>
    <xf numFmtId="166" fontId="1" fillId="0" borderId="8" xfId="2" applyNumberFormat="1" applyBorder="1"/>
    <xf numFmtId="0" fontId="1" fillId="0" borderId="7" xfId="2" applyBorder="1"/>
    <xf numFmtId="0" fontId="1" fillId="0" borderId="6" xfId="2" applyBorder="1"/>
    <xf numFmtId="166" fontId="1" fillId="0" borderId="5" xfId="2" applyNumberFormat="1" applyBorder="1" applyAlignment="1">
      <alignment horizontal="right"/>
    </xf>
    <xf numFmtId="40" fontId="1" fillId="0" borderId="0" xfId="2" applyNumberFormat="1" applyAlignment="1">
      <alignment horizontal="right"/>
    </xf>
    <xf numFmtId="0" fontId="1" fillId="0" borderId="4" xfId="2" applyBorder="1"/>
    <xf numFmtId="40" fontId="1" fillId="7" borderId="0" xfId="2" applyNumberFormat="1" applyFill="1" applyAlignment="1">
      <alignment horizontal="right"/>
    </xf>
    <xf numFmtId="0" fontId="1" fillId="8" borderId="0" xfId="2" applyFill="1"/>
    <xf numFmtId="40" fontId="0" fillId="0" borderId="0" xfId="4" applyNumberFormat="1" applyFont="1" applyBorder="1" applyAlignment="1">
      <alignment horizontal="right"/>
    </xf>
    <xf numFmtId="40" fontId="0" fillId="7" borderId="0" xfId="4" applyNumberFormat="1" applyFont="1" applyFill="1" applyBorder="1" applyAlignment="1">
      <alignment horizontal="right"/>
    </xf>
    <xf numFmtId="0" fontId="1" fillId="0" borderId="0" xfId="2" applyAlignment="1">
      <alignment horizontal="center"/>
    </xf>
    <xf numFmtId="0" fontId="1" fillId="0" borderId="4" xfId="2" applyBorder="1" applyAlignment="1">
      <alignment horizontal="center"/>
    </xf>
    <xf numFmtId="0" fontId="1" fillId="0" borderId="0" xfId="2" applyAlignment="1">
      <alignment horizontal="left" vertical="center"/>
    </xf>
    <xf numFmtId="0" fontId="1" fillId="8" borderId="0" xfId="2" applyFill="1" applyAlignment="1">
      <alignment horizontal="left" vertical="center"/>
    </xf>
    <xf numFmtId="166" fontId="1" fillId="0" borderId="5" xfId="2" applyNumberFormat="1" applyBorder="1" applyAlignment="1">
      <alignment horizontal="right" vertical="center"/>
    </xf>
    <xf numFmtId="40" fontId="0" fillId="0" borderId="0" xfId="4" applyNumberFormat="1" applyFont="1" applyBorder="1" applyAlignment="1">
      <alignment horizontal="right" vertical="center"/>
    </xf>
    <xf numFmtId="40" fontId="0" fillId="7" borderId="0" xfId="4" applyNumberFormat="1" applyFont="1" applyFill="1" applyBorder="1" applyAlignment="1">
      <alignment horizontal="right" vertical="center"/>
    </xf>
    <xf numFmtId="0" fontId="1" fillId="0" borderId="4" xfId="2" applyBorder="1" applyAlignment="1">
      <alignment horizontal="left" vertical="center"/>
    </xf>
    <xf numFmtId="40" fontId="1" fillId="6" borderId="0" xfId="2" applyNumberFormat="1" applyFill="1" applyAlignment="1">
      <alignment horizontal="left" vertical="center"/>
    </xf>
    <xf numFmtId="40" fontId="1" fillId="0" borderId="0" xfId="2" applyNumberFormat="1" applyAlignment="1">
      <alignment horizontal="left" vertical="center"/>
    </xf>
    <xf numFmtId="164" fontId="8" fillId="8" borderId="9" xfId="2" applyNumberFormat="1" applyFont="1" applyFill="1" applyBorder="1" applyAlignment="1">
      <alignment horizontal="center" vertical="center"/>
    </xf>
    <xf numFmtId="168" fontId="8" fillId="8" borderId="9" xfId="2" applyNumberFormat="1" applyFont="1" applyFill="1" applyBorder="1" applyAlignment="1">
      <alignment horizontal="center" vertical="center"/>
    </xf>
    <xf numFmtId="10" fontId="8" fillId="8" borderId="9" xfId="5" applyNumberFormat="1" applyFont="1" applyFill="1" applyBorder="1" applyAlignment="1">
      <alignment horizontal="center" vertical="center"/>
    </xf>
    <xf numFmtId="0" fontId="8" fillId="8" borderId="9" xfId="2" applyFont="1" applyFill="1" applyBorder="1" applyAlignment="1">
      <alignment horizontal="center" vertical="center"/>
    </xf>
    <xf numFmtId="40" fontId="1" fillId="0" borderId="0" xfId="2" applyNumberFormat="1" applyAlignment="1">
      <alignment horizontal="right" vertical="center"/>
    </xf>
    <xf numFmtId="0" fontId="1" fillId="0" borderId="0" xfId="2" applyAlignment="1">
      <alignment horizontal="center" vertical="center"/>
    </xf>
    <xf numFmtId="0" fontId="10" fillId="8" borderId="9" xfId="2" applyFont="1" applyFill="1" applyBorder="1" applyAlignment="1">
      <alignment horizontal="left" vertical="center"/>
    </xf>
    <xf numFmtId="0" fontId="10" fillId="8" borderId="9" xfId="2" applyFont="1" applyFill="1" applyBorder="1" applyAlignment="1">
      <alignment horizontal="left" vertical="center" wrapText="1"/>
    </xf>
    <xf numFmtId="43" fontId="9" fillId="9" borderId="0" xfId="2" applyNumberFormat="1" applyFont="1" applyFill="1" applyAlignment="1">
      <alignment horizontal="right" vertical="center"/>
    </xf>
    <xf numFmtId="0" fontId="1" fillId="8" borderId="0" xfId="2" applyFill="1" applyAlignment="1">
      <alignment horizontal="left" vertical="center" wrapText="1"/>
    </xf>
    <xf numFmtId="169" fontId="1" fillId="0" borderId="5" xfId="2" applyNumberFormat="1" applyBorder="1" applyAlignment="1">
      <alignment horizontal="right" vertical="center"/>
    </xf>
    <xf numFmtId="169" fontId="1" fillId="5" borderId="0" xfId="2" applyNumberFormat="1" applyFill="1" applyAlignment="1">
      <alignment horizontal="right" vertical="center"/>
    </xf>
    <xf numFmtId="44" fontId="8" fillId="8" borderId="9" xfId="3" applyFont="1" applyFill="1" applyBorder="1" applyAlignment="1">
      <alignment horizontal="left" vertical="center"/>
    </xf>
    <xf numFmtId="40" fontId="8" fillId="6" borderId="0" xfId="2" applyNumberFormat="1" applyFont="1" applyFill="1" applyAlignment="1">
      <alignment horizontal="left" vertical="center"/>
    </xf>
    <xf numFmtId="40" fontId="8" fillId="0" borderId="0" xfId="2" applyNumberFormat="1" applyFont="1" applyAlignment="1">
      <alignment horizontal="right" vertical="center"/>
    </xf>
    <xf numFmtId="0" fontId="8" fillId="0" borderId="0" xfId="2" applyFont="1" applyAlignment="1">
      <alignment horizontal="left" vertical="center"/>
    </xf>
    <xf numFmtId="40" fontId="8" fillId="0" borderId="10" xfId="2" applyNumberFormat="1" applyFont="1" applyBorder="1" applyAlignment="1">
      <alignment horizontal="right" vertical="center"/>
    </xf>
    <xf numFmtId="0" fontId="8" fillId="0" borderId="10" xfId="2" applyFont="1" applyBorder="1" applyAlignment="1">
      <alignment horizontal="left" vertical="center"/>
    </xf>
    <xf numFmtId="40" fontId="1" fillId="5" borderId="0" xfId="2" applyNumberFormat="1" applyFill="1" applyAlignment="1">
      <alignment horizontal="right" vertical="center"/>
    </xf>
    <xf numFmtId="0" fontId="1" fillId="8" borderId="11" xfId="2" applyFill="1" applyBorder="1" applyAlignment="1">
      <alignment horizontal="left" vertical="center"/>
    </xf>
    <xf numFmtId="0" fontId="1" fillId="8" borderId="12" xfId="2" applyFill="1" applyBorder="1" applyAlignment="1">
      <alignment horizontal="left" vertical="center"/>
    </xf>
    <xf numFmtId="168" fontId="8" fillId="8" borderId="9" xfId="5" applyNumberFormat="1" applyFont="1" applyFill="1" applyBorder="1" applyAlignment="1">
      <alignment horizontal="center" vertical="center"/>
    </xf>
    <xf numFmtId="166" fontId="1" fillId="0" borderId="5" xfId="2" applyNumberFormat="1" applyBorder="1" applyAlignment="1">
      <alignment horizontal="left" vertical="center"/>
    </xf>
    <xf numFmtId="40" fontId="1" fillId="7" borderId="0" xfId="2" applyNumberFormat="1" applyFill="1" applyAlignment="1">
      <alignment horizontal="left" vertical="center"/>
    </xf>
    <xf numFmtId="0" fontId="1" fillId="0" borderId="0" xfId="2" quotePrefix="1" applyAlignment="1">
      <alignment horizontal="left" vertical="center"/>
    </xf>
    <xf numFmtId="0" fontId="1" fillId="0" borderId="4" xfId="2" quotePrefix="1" applyBorder="1" applyAlignment="1">
      <alignment horizontal="left" vertical="center"/>
    </xf>
    <xf numFmtId="40" fontId="8" fillId="5" borderId="0" xfId="2" applyNumberFormat="1" applyFont="1" applyFill="1" applyAlignment="1">
      <alignment horizontal="right" vertical="center"/>
    </xf>
    <xf numFmtId="0" fontId="10" fillId="0" borderId="3" xfId="2" applyFont="1" applyBorder="1" applyAlignment="1">
      <alignment horizontal="left" vertical="center" wrapText="1"/>
    </xf>
    <xf numFmtId="0" fontId="10" fillId="0" borderId="2" xfId="2" applyFont="1" applyBorder="1" applyAlignment="1">
      <alignment horizontal="left" vertical="center" wrapText="1"/>
    </xf>
    <xf numFmtId="0" fontId="1" fillId="0" borderId="2" xfId="2" applyBorder="1" applyAlignment="1">
      <alignment horizontal="left" vertical="center"/>
    </xf>
    <xf numFmtId="0" fontId="1" fillId="0" borderId="1" xfId="2" applyBorder="1" applyAlignment="1">
      <alignment horizontal="left" vertical="center"/>
    </xf>
    <xf numFmtId="0" fontId="1" fillId="8" borderId="0" xfId="2" applyFill="1" applyAlignment="1">
      <alignment horizontal="center" vertical="center" wrapText="1"/>
    </xf>
    <xf numFmtId="0" fontId="1" fillId="5" borderId="0" xfId="2" applyFill="1"/>
    <xf numFmtId="0" fontId="0" fillId="0" borderId="0" xfId="0" applyAlignment="1">
      <alignment horizontal="left" vertical="top" wrapText="1"/>
    </xf>
    <xf numFmtId="0" fontId="0" fillId="0" borderId="0" xfId="0" applyAlignment="1">
      <alignment horizontal="left" vertical="top"/>
    </xf>
    <xf numFmtId="170" fontId="4" fillId="2" borderId="0" xfId="1" applyNumberFormat="1" applyFont="1" applyFill="1" applyProtection="1"/>
    <xf numFmtId="0" fontId="4" fillId="8" borderId="4" xfId="0" applyFont="1" applyFill="1" applyBorder="1"/>
    <xf numFmtId="0" fontId="4" fillId="8" borderId="0" xfId="0" applyFont="1" applyFill="1"/>
    <xf numFmtId="0" fontId="4" fillId="8" borderId="5" xfId="0" applyFont="1" applyFill="1" applyBorder="1"/>
    <xf numFmtId="0" fontId="4" fillId="8" borderId="6" xfId="0" applyFont="1" applyFill="1" applyBorder="1"/>
    <xf numFmtId="0" fontId="4" fillId="8" borderId="8" xfId="0" applyFont="1" applyFill="1" applyBorder="1"/>
    <xf numFmtId="168" fontId="4" fillId="8" borderId="0" xfId="6" applyNumberFormat="1" applyFont="1" applyFill="1" applyBorder="1" applyAlignment="1">
      <alignment horizontal="center"/>
    </xf>
    <xf numFmtId="0" fontId="4" fillId="8" borderId="7" xfId="0" applyFont="1" applyFill="1" applyBorder="1"/>
    <xf numFmtId="0" fontId="11" fillId="8" borderId="0" xfId="0" applyFont="1" applyFill="1" applyAlignment="1">
      <alignment horizontal="center"/>
    </xf>
    <xf numFmtId="0" fontId="12" fillId="0" borderId="0" xfId="0" applyFont="1"/>
    <xf numFmtId="171" fontId="4" fillId="0" borderId="0" xfId="1" applyNumberFormat="1" applyFont="1"/>
    <xf numFmtId="0" fontId="4" fillId="8" borderId="4" xfId="0" applyFont="1" applyFill="1" applyBorder="1" applyAlignment="1">
      <alignment horizontal="left" vertical="top" wrapText="1"/>
    </xf>
    <xf numFmtId="0" fontId="4" fillId="8" borderId="0" xfId="0" applyFont="1" applyFill="1" applyAlignment="1">
      <alignment horizontal="left" vertical="top" wrapText="1"/>
    </xf>
    <xf numFmtId="0" fontId="4" fillId="8" borderId="5" xfId="0" applyFont="1" applyFill="1" applyBorder="1" applyAlignment="1">
      <alignment horizontal="left" vertical="top" wrapText="1"/>
    </xf>
    <xf numFmtId="0" fontId="0" fillId="0" borderId="0" xfId="0" applyAlignment="1">
      <alignment horizontal="left" vertical="top" wrapText="1"/>
    </xf>
    <xf numFmtId="0" fontId="3" fillId="2" borderId="0" xfId="0" applyFont="1" applyFill="1" applyAlignment="1">
      <alignment horizontal="center"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1" fillId="8" borderId="1" xfId="0" applyFont="1" applyFill="1" applyBorder="1" applyAlignment="1">
      <alignment horizontal="center" vertical="top"/>
    </xf>
    <xf numFmtId="0" fontId="11" fillId="8" borderId="2" xfId="0" applyFont="1" applyFill="1" applyBorder="1" applyAlignment="1">
      <alignment horizontal="center" vertical="top"/>
    </xf>
    <xf numFmtId="0" fontId="11" fillId="8" borderId="3" xfId="0" applyFont="1" applyFill="1" applyBorder="1" applyAlignment="1">
      <alignment horizontal="center" vertical="top"/>
    </xf>
    <xf numFmtId="0" fontId="1" fillId="5" borderId="0" xfId="2" applyFill="1" applyAlignment="1">
      <alignment horizontal="center" vertical="center" wrapText="1"/>
    </xf>
    <xf numFmtId="172" fontId="4" fillId="2" borderId="0" xfId="6" applyNumberFormat="1" applyFont="1" applyFill="1" applyProtection="1"/>
    <xf numFmtId="172" fontId="4" fillId="0" borderId="0" xfId="6" applyNumberFormat="1" applyFont="1"/>
    <xf numFmtId="168" fontId="5" fillId="2" borderId="0" xfId="6" applyNumberFormat="1" applyFont="1" applyFill="1" applyAlignment="1">
      <alignment horizontal="center"/>
    </xf>
  </cellXfs>
  <cellStyles count="7">
    <cellStyle name="Comma" xfId="1" builtinId="3"/>
    <cellStyle name="Comma 2" xfId="4" xr:uid="{48659DC4-0FEC-4495-A863-57C0620145A8}"/>
    <cellStyle name="Currency 2" xfId="3" xr:uid="{6C33B447-8EA1-4EC1-A7B7-9754C433E9BD}"/>
    <cellStyle name="Normal" xfId="0" builtinId="0"/>
    <cellStyle name="Normal 2" xfId="2" xr:uid="{19E73511-6E34-43BD-82EC-1C6C69F4B645}"/>
    <cellStyle name="Percent" xfId="6" builtinId="5"/>
    <cellStyle name="Percent 2" xfId="5" xr:uid="{2D26A0A7-01EC-4AF0-A886-8FF91DA869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2025650</xdr:colOff>
      <xdr:row>0</xdr:row>
      <xdr:rowOff>28575</xdr:rowOff>
    </xdr:from>
    <xdr:to>
      <xdr:col>9</xdr:col>
      <xdr:colOff>19050</xdr:colOff>
      <xdr:row>2</xdr:row>
      <xdr:rowOff>15875</xdr:rowOff>
    </xdr:to>
    <xdr:sp macro="" textlink="">
      <xdr:nvSpPr>
        <xdr:cNvPr id="2" name="Arrow: Down 1">
          <a:extLst>
            <a:ext uri="{FF2B5EF4-FFF2-40B4-BE49-F238E27FC236}">
              <a16:creationId xmlns:a16="http://schemas.microsoft.com/office/drawing/2014/main" id="{43978B4F-4BD8-4DE5-BA85-9C1ACE5441FF}"/>
            </a:ext>
          </a:extLst>
        </xdr:cNvPr>
        <xdr:cNvSpPr/>
      </xdr:nvSpPr>
      <xdr:spPr>
        <a:xfrm>
          <a:off x="3654425" y="28575"/>
          <a:ext cx="1851025" cy="368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Won't reflect in PBCS Planning </a:t>
          </a:r>
        </a:p>
        <a:p>
          <a:pPr algn="ctr"/>
          <a:r>
            <a:rPr lang="en-US" sz="1000"/>
            <a:t>but this will be your fringe credit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workbookViewId="0">
      <selection activeCell="B2" sqref="B2"/>
    </sheetView>
  </sheetViews>
  <sheetFormatPr defaultColWidth="9.109375" defaultRowHeight="15" x14ac:dyDescent="0.25"/>
  <cols>
    <col min="1" max="1" width="15.109375" style="1" bestFit="1" customWidth="1"/>
    <col min="2" max="2" width="23.88671875" style="1" customWidth="1"/>
    <col min="3" max="3" width="20.44140625" style="1" customWidth="1"/>
    <col min="4" max="4" width="14.6640625" style="2" customWidth="1"/>
    <col min="5" max="5" width="14.5546875" style="2" bestFit="1" customWidth="1"/>
    <col min="6" max="6" width="17.5546875" style="2" bestFit="1" customWidth="1"/>
    <col min="7" max="7" width="3.109375" style="2" customWidth="1"/>
    <col min="8" max="8" width="17.33203125" style="3" bestFit="1" customWidth="1"/>
    <col min="9" max="9" width="9.109375" style="1"/>
    <col min="10" max="10" width="1.44140625" style="1" customWidth="1"/>
    <col min="11" max="11" width="12.88671875" style="1" bestFit="1" customWidth="1"/>
    <col min="12" max="12" width="10.33203125" style="1" bestFit="1" customWidth="1"/>
    <col min="13" max="13" width="12.88671875" style="1" bestFit="1" customWidth="1"/>
    <col min="14" max="14" width="9.109375" style="1" customWidth="1"/>
    <col min="15" max="15" width="1.6640625" style="1" customWidth="1"/>
    <col min="16" max="16" width="9.109375" style="1"/>
    <col min="17" max="17" width="1.44140625" style="1" customWidth="1"/>
    <col min="18" max="16384" width="9.109375" style="1"/>
  </cols>
  <sheetData>
    <row r="1" spans="1:14" ht="16.2" thickBot="1" x14ac:dyDescent="0.35">
      <c r="A1" s="111" t="s">
        <v>83</v>
      </c>
      <c r="B1" s="111"/>
    </row>
    <row r="2" spans="1:14" ht="15.6" x14ac:dyDescent="0.3">
      <c r="D2" s="8">
        <v>0.1154</v>
      </c>
      <c r="E2" s="8">
        <v>8.5000000000000006E-2</v>
      </c>
      <c r="F2" s="8">
        <v>0.23180000000000001</v>
      </c>
      <c r="G2" s="8"/>
      <c r="H2" s="9"/>
      <c r="J2" s="19"/>
      <c r="K2" s="20"/>
      <c r="L2" s="20"/>
      <c r="M2" s="20"/>
      <c r="N2" s="21"/>
    </row>
    <row r="3" spans="1:14" ht="38.4" x14ac:dyDescent="0.6">
      <c r="A3" s="4" t="s">
        <v>13</v>
      </c>
      <c r="D3" s="16" t="s">
        <v>19</v>
      </c>
      <c r="E3" s="16" t="s">
        <v>20</v>
      </c>
      <c r="F3" s="16" t="s">
        <v>21</v>
      </c>
      <c r="G3" s="17"/>
      <c r="H3" s="18" t="s">
        <v>22</v>
      </c>
      <c r="J3" s="22"/>
      <c r="K3" s="112" t="s">
        <v>16</v>
      </c>
      <c r="L3" s="112"/>
      <c r="M3" s="112"/>
      <c r="N3" s="113"/>
    </row>
    <row r="4" spans="1:14" ht="15" customHeight="1" x14ac:dyDescent="0.25">
      <c r="H4" s="10"/>
      <c r="J4" s="22"/>
      <c r="K4" s="112"/>
      <c r="L4" s="112"/>
      <c r="M4" s="112"/>
      <c r="N4" s="113"/>
    </row>
    <row r="5" spans="1:14" ht="15.6" x14ac:dyDescent="0.3">
      <c r="A5" s="7" t="s">
        <v>12</v>
      </c>
      <c r="B5" s="14">
        <v>50000</v>
      </c>
      <c r="C5" s="6"/>
      <c r="D5" s="5">
        <f>$B$5*D2</f>
        <v>5770</v>
      </c>
      <c r="E5" s="5">
        <f>$B$5*E2</f>
        <v>4250</v>
      </c>
      <c r="F5" s="106">
        <f>$B$5*F2</f>
        <v>11590</v>
      </c>
      <c r="G5" s="5"/>
      <c r="H5" s="11">
        <v>9435.84</v>
      </c>
      <c r="J5" s="22"/>
      <c r="K5" s="112"/>
      <c r="L5" s="112"/>
      <c r="M5" s="112"/>
      <c r="N5" s="113"/>
    </row>
    <row r="6" spans="1:14" x14ac:dyDescent="0.25">
      <c r="H6" s="10"/>
      <c r="J6" s="22"/>
      <c r="K6" s="112"/>
      <c r="L6" s="112"/>
      <c r="M6" s="112"/>
      <c r="N6" s="113"/>
    </row>
    <row r="7" spans="1:14" x14ac:dyDescent="0.25">
      <c r="B7" s="1" t="s">
        <v>11</v>
      </c>
      <c r="D7" s="2">
        <f t="shared" ref="D7:F13" si="0">$B$5*$H7</f>
        <v>500</v>
      </c>
      <c r="E7" s="2">
        <f t="shared" si="0"/>
        <v>500</v>
      </c>
      <c r="F7" s="2">
        <f t="shared" si="0"/>
        <v>500</v>
      </c>
      <c r="H7" s="96">
        <v>0.01</v>
      </c>
      <c r="J7" s="22"/>
      <c r="K7" s="112"/>
      <c r="L7" s="112"/>
      <c r="M7" s="112"/>
      <c r="N7" s="113"/>
    </row>
    <row r="8" spans="1:14" x14ac:dyDescent="0.25">
      <c r="B8" s="1" t="s">
        <v>10</v>
      </c>
      <c r="D8" s="2">
        <f t="shared" si="0"/>
        <v>3100</v>
      </c>
      <c r="E8" s="2">
        <f t="shared" si="0"/>
        <v>3100</v>
      </c>
      <c r="F8" s="2">
        <f t="shared" si="0"/>
        <v>3100</v>
      </c>
      <c r="H8" s="96">
        <v>6.2E-2</v>
      </c>
      <c r="J8" s="22"/>
      <c r="K8" s="23" t="s">
        <v>15</v>
      </c>
      <c r="L8" s="23"/>
      <c r="M8" s="23"/>
      <c r="N8" s="24"/>
    </row>
    <row r="9" spans="1:14" x14ac:dyDescent="0.25">
      <c r="B9" s="1" t="s">
        <v>9</v>
      </c>
      <c r="D9" s="2">
        <f t="shared" si="0"/>
        <v>725</v>
      </c>
      <c r="E9" s="2">
        <f t="shared" si="0"/>
        <v>725</v>
      </c>
      <c r="F9" s="2">
        <f t="shared" si="0"/>
        <v>725</v>
      </c>
      <c r="H9" s="96">
        <v>1.4500000000000001E-2</v>
      </c>
      <c r="J9" s="22"/>
      <c r="K9" s="23"/>
      <c r="L9" s="23"/>
      <c r="M9" s="23"/>
      <c r="N9" s="24"/>
    </row>
    <row r="10" spans="1:14" x14ac:dyDescent="0.25">
      <c r="B10" s="1" t="s">
        <v>8</v>
      </c>
      <c r="D10" s="2">
        <f t="shared" si="0"/>
        <v>0</v>
      </c>
      <c r="E10" s="2">
        <f t="shared" si="0"/>
        <v>0</v>
      </c>
      <c r="F10" s="2">
        <f t="shared" si="0"/>
        <v>0</v>
      </c>
      <c r="H10" s="96">
        <v>0</v>
      </c>
      <c r="J10" s="22"/>
      <c r="K10" s="23">
        <v>1</v>
      </c>
      <c r="L10" s="26" t="s">
        <v>17</v>
      </c>
      <c r="M10" s="26"/>
      <c r="N10" s="27"/>
    </row>
    <row r="11" spans="1:14" x14ac:dyDescent="0.25">
      <c r="B11" s="1" t="s">
        <v>7</v>
      </c>
      <c r="D11" s="2">
        <f t="shared" si="0"/>
        <v>280</v>
      </c>
      <c r="E11" s="2">
        <f t="shared" si="0"/>
        <v>280</v>
      </c>
      <c r="F11" s="2">
        <f t="shared" si="0"/>
        <v>280</v>
      </c>
      <c r="H11" s="96">
        <v>5.5999999999999999E-3</v>
      </c>
      <c r="J11" s="22"/>
      <c r="K11" s="23">
        <v>2</v>
      </c>
      <c r="L11" s="26" t="s">
        <v>18</v>
      </c>
      <c r="M11" s="26"/>
      <c r="N11" s="27"/>
    </row>
    <row r="12" spans="1:14" x14ac:dyDescent="0.25">
      <c r="B12" s="1" t="s">
        <v>6</v>
      </c>
      <c r="D12" s="2">
        <f t="shared" si="0"/>
        <v>95.5</v>
      </c>
      <c r="E12" s="2">
        <f t="shared" si="0"/>
        <v>95.5</v>
      </c>
      <c r="F12" s="2">
        <f t="shared" si="0"/>
        <v>95.5</v>
      </c>
      <c r="H12" s="96">
        <v>1.91E-3</v>
      </c>
      <c r="J12" s="22"/>
      <c r="K12" s="23"/>
      <c r="L12" s="23"/>
      <c r="M12" s="23"/>
      <c r="N12" s="24"/>
    </row>
    <row r="13" spans="1:14" x14ac:dyDescent="0.25">
      <c r="B13" s="1" t="s">
        <v>5</v>
      </c>
      <c r="D13" s="2">
        <f t="shared" si="0"/>
        <v>224.99999999999997</v>
      </c>
      <c r="E13" s="2">
        <f t="shared" si="0"/>
        <v>224.99999999999997</v>
      </c>
      <c r="F13" s="2">
        <f t="shared" si="0"/>
        <v>224.99999999999997</v>
      </c>
      <c r="H13" s="96">
        <v>4.4999999999999997E-3</v>
      </c>
      <c r="J13" s="22"/>
      <c r="K13" s="112" t="s">
        <v>26</v>
      </c>
      <c r="L13" s="112"/>
      <c r="M13" s="112"/>
      <c r="N13" s="113"/>
    </row>
    <row r="14" spans="1:14" ht="15" customHeight="1" x14ac:dyDescent="0.25">
      <c r="J14" s="22"/>
      <c r="K14" s="112"/>
      <c r="L14" s="112"/>
      <c r="M14" s="112"/>
      <c r="N14" s="113"/>
    </row>
    <row r="15" spans="1:14" x14ac:dyDescent="0.25">
      <c r="A15" s="1" t="s">
        <v>14</v>
      </c>
      <c r="J15" s="22"/>
      <c r="K15" s="112"/>
      <c r="L15" s="112"/>
      <c r="M15" s="112"/>
      <c r="N15" s="113"/>
    </row>
    <row r="16" spans="1:14" ht="15.6" thickBot="1" x14ac:dyDescent="0.3">
      <c r="B16" s="1" t="s">
        <v>23</v>
      </c>
      <c r="C16" s="15">
        <v>1</v>
      </c>
      <c r="D16" s="2">
        <f>C16*H5</f>
        <v>9435.84</v>
      </c>
      <c r="E16" s="2">
        <f>C16*H5</f>
        <v>9435.84</v>
      </c>
      <c r="F16" s="2">
        <f>C16*H5</f>
        <v>9435.84</v>
      </c>
      <c r="J16" s="25"/>
      <c r="K16" s="114"/>
      <c r="L16" s="114"/>
      <c r="M16" s="114"/>
      <c r="N16" s="115"/>
    </row>
    <row r="17" spans="1:16" ht="15.6" thickBot="1" x14ac:dyDescent="0.3"/>
    <row r="18" spans="1:16" ht="15.6" x14ac:dyDescent="0.3">
      <c r="A18" s="12" t="s">
        <v>4</v>
      </c>
      <c r="B18" s="12" t="s">
        <v>24</v>
      </c>
      <c r="C18" s="12"/>
      <c r="D18" s="13">
        <f>D5+D7+D8+D9+D10+D11+D12+D13+D16</f>
        <v>20131.34</v>
      </c>
      <c r="E18" s="13">
        <f>E5+E7+E8+E9+E10+E11+E12+E13+E16</f>
        <v>18611.34</v>
      </c>
      <c r="F18" s="13">
        <f>F5+F7+F8+F9+F10+F11+F12+F13+F16</f>
        <v>25951.34</v>
      </c>
      <c r="J18" s="116" t="s">
        <v>79</v>
      </c>
      <c r="K18" s="117"/>
      <c r="L18" s="117"/>
      <c r="M18" s="117"/>
      <c r="N18" s="118"/>
    </row>
    <row r="19" spans="1:16" ht="15.6" x14ac:dyDescent="0.3">
      <c r="A19" s="12" t="s">
        <v>4</v>
      </c>
      <c r="B19" s="12" t="s">
        <v>25</v>
      </c>
      <c r="C19" s="12"/>
      <c r="D19" s="13">
        <f>B5+D18</f>
        <v>70131.34</v>
      </c>
      <c r="E19" s="13">
        <f>B5+E18</f>
        <v>68611.34</v>
      </c>
      <c r="F19" s="13">
        <f>B5+F18</f>
        <v>75951.34</v>
      </c>
      <c r="J19" s="97"/>
      <c r="K19" s="98"/>
      <c r="L19" s="98"/>
      <c r="M19" s="98"/>
      <c r="N19" s="99"/>
    </row>
    <row r="20" spans="1:16" x14ac:dyDescent="0.25">
      <c r="J20" s="107" t="s">
        <v>82</v>
      </c>
      <c r="K20" s="108"/>
      <c r="L20" s="108"/>
      <c r="M20" s="108"/>
      <c r="N20" s="109"/>
    </row>
    <row r="21" spans="1:16" ht="15.6" x14ac:dyDescent="0.3">
      <c r="A21" s="4" t="s">
        <v>3</v>
      </c>
      <c r="B21" s="1" t="s">
        <v>2</v>
      </c>
      <c r="D21" s="2">
        <v>0</v>
      </c>
      <c r="E21" s="2">
        <f>E5+E7+E8+E9+E10+E11+E12+E13</f>
        <v>9175.5</v>
      </c>
      <c r="F21" s="2">
        <v>0</v>
      </c>
      <c r="J21" s="107"/>
      <c r="K21" s="108"/>
      <c r="L21" s="108"/>
      <c r="M21" s="108"/>
      <c r="N21" s="109"/>
    </row>
    <row r="22" spans="1:16" x14ac:dyDescent="0.25">
      <c r="J22" s="107"/>
      <c r="K22" s="108"/>
      <c r="L22" s="108"/>
      <c r="M22" s="108"/>
      <c r="N22" s="109"/>
    </row>
    <row r="23" spans="1:16" ht="16.2" x14ac:dyDescent="0.35">
      <c r="A23" s="4" t="s">
        <v>1</v>
      </c>
      <c r="B23" s="1" t="s">
        <v>0</v>
      </c>
      <c r="D23" s="2">
        <v>0</v>
      </c>
      <c r="E23" s="2">
        <f>E11+E12+E13</f>
        <v>600.5</v>
      </c>
      <c r="F23" s="2">
        <v>0</v>
      </c>
      <c r="H23" s="105"/>
      <c r="J23" s="97"/>
      <c r="K23" s="98"/>
      <c r="L23" s="98"/>
      <c r="M23" s="98"/>
      <c r="N23" s="99"/>
    </row>
    <row r="24" spans="1:16" x14ac:dyDescent="0.25">
      <c r="J24" s="97"/>
      <c r="K24" s="104" t="s">
        <v>80</v>
      </c>
      <c r="L24" s="104" t="s">
        <v>42</v>
      </c>
      <c r="M24" s="104" t="s">
        <v>81</v>
      </c>
      <c r="N24" s="99"/>
    </row>
    <row r="25" spans="1:16" x14ac:dyDescent="0.25">
      <c r="J25" s="97"/>
      <c r="K25" s="98"/>
      <c r="L25" s="98"/>
      <c r="M25" s="98"/>
      <c r="N25" s="99"/>
    </row>
    <row r="26" spans="1:16" x14ac:dyDescent="0.25">
      <c r="J26" s="97"/>
      <c r="K26" s="102">
        <f>SUM(H7:H13)+D2</f>
        <v>0.21390999999999999</v>
      </c>
      <c r="L26" s="102">
        <f>SUM(H7:H13)+E2</f>
        <v>0.18351000000000001</v>
      </c>
      <c r="M26" s="102">
        <f>SUM(H7:H13)+F2</f>
        <v>0.33030999999999999</v>
      </c>
      <c r="N26" s="99"/>
    </row>
    <row r="27" spans="1:16" ht="15.6" thickBot="1" x14ac:dyDescent="0.3">
      <c r="J27" s="100"/>
      <c r="K27" s="103"/>
      <c r="L27" s="103"/>
      <c r="M27" s="103"/>
      <c r="N27" s="101"/>
    </row>
    <row r="28" spans="1:16" x14ac:dyDescent="0.25">
      <c r="A28"/>
    </row>
    <row r="29" spans="1:16" x14ac:dyDescent="0.25">
      <c r="A29" t="s">
        <v>27</v>
      </c>
      <c r="B29" s="95" t="s">
        <v>28</v>
      </c>
      <c r="C29" s="95"/>
      <c r="D29" s="95"/>
      <c r="E29" s="95"/>
      <c r="F29" s="95"/>
      <c r="G29" s="95"/>
      <c r="H29" s="95"/>
      <c r="J29" s="95"/>
      <c r="K29" s="95"/>
      <c r="L29" s="95"/>
      <c r="M29" s="95"/>
      <c r="N29" s="95"/>
    </row>
    <row r="30" spans="1:16" ht="71.25" customHeight="1" x14ac:dyDescent="0.25">
      <c r="A30"/>
      <c r="B30" s="110" t="s">
        <v>29</v>
      </c>
      <c r="C30" s="110"/>
      <c r="D30" s="110"/>
      <c r="E30" s="110"/>
      <c r="F30" s="110"/>
      <c r="G30" s="110"/>
      <c r="H30" s="110"/>
      <c r="I30" s="110"/>
      <c r="J30" s="110"/>
      <c r="K30" s="110"/>
      <c r="L30" s="110"/>
      <c r="M30" s="110"/>
      <c r="N30" s="110"/>
      <c r="O30" s="95"/>
      <c r="P30" s="95"/>
    </row>
    <row r="31" spans="1:16" ht="15" customHeight="1" x14ac:dyDescent="0.25">
      <c r="B31" s="94"/>
      <c r="C31" s="94"/>
      <c r="D31" s="94"/>
      <c r="E31" s="94"/>
      <c r="F31" s="94"/>
      <c r="G31" s="94"/>
      <c r="H31" s="94"/>
      <c r="I31" s="94"/>
      <c r="J31" s="94"/>
      <c r="K31" s="94"/>
      <c r="L31" s="94"/>
      <c r="M31" s="94"/>
      <c r="N31" s="94"/>
      <c r="O31" s="94"/>
      <c r="P31" s="94"/>
    </row>
    <row r="32" spans="1:16" x14ac:dyDescent="0.25">
      <c r="B32" s="94"/>
      <c r="C32" s="94"/>
      <c r="D32" s="94"/>
      <c r="E32" s="94"/>
      <c r="F32" s="94"/>
      <c r="G32" s="94"/>
      <c r="H32" s="94"/>
      <c r="I32" s="94"/>
      <c r="J32" s="94"/>
      <c r="K32" s="94"/>
      <c r="L32" s="94"/>
      <c r="M32" s="94"/>
      <c r="N32" s="94"/>
      <c r="O32" s="94"/>
      <c r="P32" s="94"/>
    </row>
    <row r="33" spans="9:16" ht="31.5" customHeight="1" x14ac:dyDescent="0.25">
      <c r="I33" s="94"/>
      <c r="J33" s="94"/>
      <c r="K33" s="94"/>
      <c r="L33" s="94"/>
      <c r="M33" s="94"/>
      <c r="N33" s="94"/>
      <c r="O33" s="94"/>
      <c r="P33" s="94"/>
    </row>
  </sheetData>
  <mergeCells count="6">
    <mergeCell ref="J20:N22"/>
    <mergeCell ref="B30:N30"/>
    <mergeCell ref="A1:B1"/>
    <mergeCell ref="K13:N16"/>
    <mergeCell ref="K3:N7"/>
    <mergeCell ref="J18:N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A5F3-D6B5-4E39-A3DB-C23EEF467B9E}">
  <dimension ref="A1:P33"/>
  <sheetViews>
    <sheetView tabSelected="1" workbookViewId="0">
      <selection sqref="A1:B1"/>
    </sheetView>
  </sheetViews>
  <sheetFormatPr defaultColWidth="9.109375" defaultRowHeight="15" x14ac:dyDescent="0.25"/>
  <cols>
    <col min="1" max="1" width="15.109375" style="1" bestFit="1" customWidth="1"/>
    <col min="2" max="2" width="23.88671875" style="1" customWidth="1"/>
    <col min="3" max="3" width="20.44140625" style="1" customWidth="1"/>
    <col min="4" max="4" width="14.6640625" style="2" customWidth="1"/>
    <col min="5" max="5" width="14.5546875" style="2" bestFit="1" customWidth="1"/>
    <col min="6" max="6" width="14.44140625" style="2" customWidth="1"/>
    <col min="7" max="7" width="3.109375" style="2" customWidth="1"/>
    <col min="8" max="8" width="17.33203125" style="3" bestFit="1" customWidth="1"/>
    <col min="9" max="9" width="9.109375" style="1"/>
    <col min="10" max="10" width="1.44140625" style="1" customWidth="1"/>
    <col min="11" max="13" width="10.33203125" style="1" bestFit="1" customWidth="1"/>
    <col min="14" max="14" width="9.109375" style="1"/>
    <col min="15" max="15" width="1.6640625" style="1" customWidth="1"/>
    <col min="16" max="16" width="9.109375" style="1"/>
    <col min="17" max="17" width="1.44140625" style="1" customWidth="1"/>
    <col min="18" max="16384" width="9.109375" style="1"/>
  </cols>
  <sheetData>
    <row r="1" spans="1:14" ht="16.2" thickBot="1" x14ac:dyDescent="0.35">
      <c r="A1" s="111" t="s">
        <v>84</v>
      </c>
      <c r="B1" s="111"/>
    </row>
    <row r="2" spans="1:14" ht="15.6" x14ac:dyDescent="0.3">
      <c r="D2" s="122">
        <v>0.1168</v>
      </c>
      <c r="E2" s="122">
        <v>8.5000000000000006E-2</v>
      </c>
      <c r="F2" s="122">
        <v>0.24690000000000001</v>
      </c>
      <c r="G2" s="8"/>
      <c r="H2" s="9"/>
      <c r="J2" s="19"/>
      <c r="K2" s="20"/>
      <c r="L2" s="20"/>
      <c r="M2" s="20"/>
      <c r="N2" s="21"/>
    </row>
    <row r="3" spans="1:14" ht="38.4" x14ac:dyDescent="0.6">
      <c r="A3" s="4" t="s">
        <v>13</v>
      </c>
      <c r="D3" s="16" t="s">
        <v>19</v>
      </c>
      <c r="E3" s="16" t="s">
        <v>20</v>
      </c>
      <c r="F3" s="16" t="s">
        <v>21</v>
      </c>
      <c r="G3" s="17"/>
      <c r="H3" s="18" t="s">
        <v>22</v>
      </c>
      <c r="J3" s="22"/>
      <c r="K3" s="112" t="s">
        <v>16</v>
      </c>
      <c r="L3" s="112"/>
      <c r="M3" s="112"/>
      <c r="N3" s="113"/>
    </row>
    <row r="4" spans="1:14" ht="15" customHeight="1" x14ac:dyDescent="0.25">
      <c r="H4" s="10"/>
      <c r="J4" s="22"/>
      <c r="K4" s="112"/>
      <c r="L4" s="112"/>
      <c r="M4" s="112"/>
      <c r="N4" s="113"/>
    </row>
    <row r="5" spans="1:14" ht="15.6" x14ac:dyDescent="0.3">
      <c r="A5" s="7" t="s">
        <v>12</v>
      </c>
      <c r="B5" s="14">
        <v>55000</v>
      </c>
      <c r="C5" s="6"/>
      <c r="D5" s="5">
        <f>$B$5*D2</f>
        <v>6424</v>
      </c>
      <c r="E5" s="5">
        <f>$B$5*E2</f>
        <v>4675</v>
      </c>
      <c r="F5" s="5">
        <f>$B$5*F2</f>
        <v>13579.5</v>
      </c>
      <c r="G5" s="5"/>
      <c r="H5" s="11">
        <v>10123.200000000001</v>
      </c>
      <c r="J5" s="22"/>
      <c r="K5" s="112"/>
      <c r="L5" s="112"/>
      <c r="M5" s="112"/>
      <c r="N5" s="113"/>
    </row>
    <row r="6" spans="1:14" x14ac:dyDescent="0.25">
      <c r="H6" s="10"/>
      <c r="J6" s="22"/>
      <c r="K6" s="112"/>
      <c r="L6" s="112"/>
      <c r="M6" s="112"/>
      <c r="N6" s="113"/>
    </row>
    <row r="7" spans="1:14" x14ac:dyDescent="0.25">
      <c r="B7" s="1" t="s">
        <v>11</v>
      </c>
      <c r="D7" s="2">
        <f t="shared" ref="D7:F13" si="0">$B$5*$H7</f>
        <v>550</v>
      </c>
      <c r="E7" s="2">
        <f t="shared" si="0"/>
        <v>550</v>
      </c>
      <c r="F7" s="2">
        <f t="shared" si="0"/>
        <v>550</v>
      </c>
      <c r="H7" s="120">
        <v>0.01</v>
      </c>
      <c r="J7" s="22"/>
      <c r="K7" s="112"/>
      <c r="L7" s="112"/>
      <c r="M7" s="112"/>
      <c r="N7" s="113"/>
    </row>
    <row r="8" spans="1:14" x14ac:dyDescent="0.25">
      <c r="B8" s="1" t="s">
        <v>10</v>
      </c>
      <c r="D8" s="2">
        <f t="shared" si="0"/>
        <v>3410</v>
      </c>
      <c r="E8" s="2">
        <f t="shared" si="0"/>
        <v>3410</v>
      </c>
      <c r="F8" s="2">
        <f t="shared" si="0"/>
        <v>3410</v>
      </c>
      <c r="H8" s="120">
        <v>6.2E-2</v>
      </c>
      <c r="J8" s="22"/>
      <c r="K8" s="23" t="s">
        <v>15</v>
      </c>
      <c r="L8" s="23"/>
      <c r="M8" s="23"/>
      <c r="N8" s="24"/>
    </row>
    <row r="9" spans="1:14" x14ac:dyDescent="0.25">
      <c r="B9" s="1" t="s">
        <v>9</v>
      </c>
      <c r="D9" s="2">
        <f t="shared" si="0"/>
        <v>797.5</v>
      </c>
      <c r="E9" s="2">
        <f t="shared" si="0"/>
        <v>797.5</v>
      </c>
      <c r="F9" s="2">
        <f t="shared" si="0"/>
        <v>797.5</v>
      </c>
      <c r="H9" s="120">
        <v>1.4500000000000001E-2</v>
      </c>
      <c r="J9" s="22"/>
      <c r="K9" s="23"/>
      <c r="L9" s="23"/>
      <c r="M9" s="23"/>
      <c r="N9" s="24"/>
    </row>
    <row r="10" spans="1:14" x14ac:dyDescent="0.25">
      <c r="B10" s="1" t="s">
        <v>8</v>
      </c>
      <c r="D10" s="2">
        <f t="shared" si="0"/>
        <v>0</v>
      </c>
      <c r="E10" s="2">
        <f t="shared" si="0"/>
        <v>0</v>
      </c>
      <c r="F10" s="2">
        <f t="shared" si="0"/>
        <v>0</v>
      </c>
      <c r="H10" s="120">
        <v>0</v>
      </c>
      <c r="J10" s="22"/>
      <c r="K10" s="23">
        <v>1</v>
      </c>
      <c r="L10" s="26" t="s">
        <v>17</v>
      </c>
      <c r="M10" s="26"/>
      <c r="N10" s="27"/>
    </row>
    <row r="11" spans="1:14" x14ac:dyDescent="0.25">
      <c r="B11" s="1" t="s">
        <v>7</v>
      </c>
      <c r="D11" s="2">
        <f t="shared" si="0"/>
        <v>341</v>
      </c>
      <c r="E11" s="2">
        <f t="shared" si="0"/>
        <v>341</v>
      </c>
      <c r="F11" s="2">
        <f t="shared" si="0"/>
        <v>341</v>
      </c>
      <c r="H11" s="120">
        <v>6.1999999999999998E-3</v>
      </c>
      <c r="J11" s="22"/>
      <c r="K11" s="23">
        <v>2</v>
      </c>
      <c r="L11" s="26" t="s">
        <v>18</v>
      </c>
      <c r="M11" s="26"/>
      <c r="N11" s="27"/>
    </row>
    <row r="12" spans="1:14" x14ac:dyDescent="0.25">
      <c r="B12" s="1" t="s">
        <v>6</v>
      </c>
      <c r="D12" s="2">
        <f t="shared" si="0"/>
        <v>73.150000000000006</v>
      </c>
      <c r="E12" s="2">
        <f t="shared" si="0"/>
        <v>73.150000000000006</v>
      </c>
      <c r="F12" s="2">
        <f t="shared" si="0"/>
        <v>73.150000000000006</v>
      </c>
      <c r="H12" s="120">
        <v>1.33E-3</v>
      </c>
      <c r="J12" s="22"/>
      <c r="K12" s="23"/>
      <c r="L12" s="23"/>
      <c r="M12" s="23"/>
      <c r="N12" s="24"/>
    </row>
    <row r="13" spans="1:14" x14ac:dyDescent="0.25">
      <c r="B13" s="1" t="s">
        <v>5</v>
      </c>
      <c r="D13" s="2">
        <f t="shared" si="0"/>
        <v>247.49999999999997</v>
      </c>
      <c r="E13" s="2">
        <f t="shared" si="0"/>
        <v>247.49999999999997</v>
      </c>
      <c r="F13" s="2">
        <f t="shared" si="0"/>
        <v>247.49999999999997</v>
      </c>
      <c r="H13" s="120">
        <v>4.4999999999999997E-3</v>
      </c>
      <c r="J13" s="22"/>
      <c r="K13" s="112" t="s">
        <v>26</v>
      </c>
      <c r="L13" s="112"/>
      <c r="M13" s="112"/>
      <c r="N13" s="113"/>
    </row>
    <row r="14" spans="1:14" ht="15" customHeight="1" x14ac:dyDescent="0.25">
      <c r="J14" s="22"/>
      <c r="K14" s="112"/>
      <c r="L14" s="112"/>
      <c r="M14" s="112"/>
      <c r="N14" s="113"/>
    </row>
    <row r="15" spans="1:14" x14ac:dyDescent="0.25">
      <c r="A15" s="1" t="s">
        <v>14</v>
      </c>
      <c r="J15" s="22"/>
      <c r="K15" s="112"/>
      <c r="L15" s="112"/>
      <c r="M15" s="112"/>
      <c r="N15" s="113"/>
    </row>
    <row r="16" spans="1:14" ht="15.6" thickBot="1" x14ac:dyDescent="0.3">
      <c r="B16" s="1" t="s">
        <v>23</v>
      </c>
      <c r="C16" s="15">
        <v>1</v>
      </c>
      <c r="D16" s="2">
        <f>C16*H5</f>
        <v>10123.200000000001</v>
      </c>
      <c r="E16" s="2">
        <f>C16*H5</f>
        <v>10123.200000000001</v>
      </c>
      <c r="F16" s="2">
        <f>C16*H5</f>
        <v>10123.200000000001</v>
      </c>
      <c r="J16" s="25"/>
      <c r="K16" s="114"/>
      <c r="L16" s="114"/>
      <c r="M16" s="114"/>
      <c r="N16" s="115"/>
    </row>
    <row r="17" spans="1:16" ht="15.6" thickBot="1" x14ac:dyDescent="0.3"/>
    <row r="18" spans="1:16" ht="15.6" x14ac:dyDescent="0.3">
      <c r="A18" s="12" t="s">
        <v>4</v>
      </c>
      <c r="B18" s="12" t="s">
        <v>24</v>
      </c>
      <c r="C18" s="12"/>
      <c r="D18" s="13">
        <f>D5+D7+D8+D9+D10+D11+D12+D13+D16</f>
        <v>21966.35</v>
      </c>
      <c r="E18" s="13">
        <f>E5+E7+E8+E9+E10+E11+E12+E13+E16</f>
        <v>20217.349999999999</v>
      </c>
      <c r="F18" s="13">
        <f>F5+F7+F8+F9+F10+F11+F12+F13+F16</f>
        <v>29121.850000000002</v>
      </c>
      <c r="J18" s="116" t="s">
        <v>79</v>
      </c>
      <c r="K18" s="117"/>
      <c r="L18" s="117"/>
      <c r="M18" s="117"/>
      <c r="N18" s="118"/>
    </row>
    <row r="19" spans="1:16" ht="15.6" x14ac:dyDescent="0.3">
      <c r="A19" s="12" t="s">
        <v>4</v>
      </c>
      <c r="B19" s="12" t="s">
        <v>25</v>
      </c>
      <c r="C19" s="12"/>
      <c r="D19" s="13">
        <f>B5+D18</f>
        <v>76966.350000000006</v>
      </c>
      <c r="E19" s="13">
        <f>B5+E18</f>
        <v>75217.350000000006</v>
      </c>
      <c r="F19" s="13">
        <f>B5+F18</f>
        <v>84121.85</v>
      </c>
      <c r="J19" s="97"/>
      <c r="K19" s="98"/>
      <c r="L19" s="98"/>
      <c r="M19" s="98"/>
      <c r="N19" s="99"/>
    </row>
    <row r="20" spans="1:16" x14ac:dyDescent="0.25">
      <c r="J20" s="107" t="s">
        <v>82</v>
      </c>
      <c r="K20" s="108"/>
      <c r="L20" s="108"/>
      <c r="M20" s="108"/>
      <c r="N20" s="109"/>
    </row>
    <row r="21" spans="1:16" ht="15.6" x14ac:dyDescent="0.3">
      <c r="A21" s="4" t="s">
        <v>3</v>
      </c>
      <c r="B21" s="1" t="s">
        <v>2</v>
      </c>
      <c r="D21" s="2">
        <v>0</v>
      </c>
      <c r="E21" s="2">
        <f>E5+E7+E8+E9+E10+E11+E12+E13</f>
        <v>10094.15</v>
      </c>
      <c r="F21" s="2">
        <v>0</v>
      </c>
      <c r="J21" s="107"/>
      <c r="K21" s="108"/>
      <c r="L21" s="108"/>
      <c r="M21" s="108"/>
      <c r="N21" s="109"/>
    </row>
    <row r="22" spans="1:16" x14ac:dyDescent="0.25">
      <c r="J22" s="107"/>
      <c r="K22" s="108"/>
      <c r="L22" s="108"/>
      <c r="M22" s="108"/>
      <c r="N22" s="109"/>
    </row>
    <row r="23" spans="1:16" ht="16.2" x14ac:dyDescent="0.35">
      <c r="A23" s="4" t="s">
        <v>1</v>
      </c>
      <c r="B23" s="1" t="s">
        <v>0</v>
      </c>
      <c r="D23" s="2">
        <v>0</v>
      </c>
      <c r="E23" s="2">
        <f>E11+E12+E13</f>
        <v>661.65</v>
      </c>
      <c r="F23" s="2">
        <v>0</v>
      </c>
      <c r="H23" s="105"/>
      <c r="J23" s="97"/>
      <c r="K23" s="98"/>
      <c r="L23" s="98"/>
      <c r="M23" s="98"/>
      <c r="N23" s="99"/>
    </row>
    <row r="24" spans="1:16" x14ac:dyDescent="0.25">
      <c r="J24" s="97"/>
      <c r="K24" s="104" t="s">
        <v>80</v>
      </c>
      <c r="L24" s="104" t="s">
        <v>42</v>
      </c>
      <c r="M24" s="104" t="s">
        <v>81</v>
      </c>
      <c r="N24" s="99"/>
    </row>
    <row r="25" spans="1:16" x14ac:dyDescent="0.25">
      <c r="J25" s="97"/>
      <c r="K25" s="98"/>
      <c r="L25" s="98"/>
      <c r="M25" s="98"/>
      <c r="N25" s="99"/>
    </row>
    <row r="26" spans="1:16" x14ac:dyDescent="0.25">
      <c r="J26" s="97"/>
      <c r="K26" s="102">
        <f>SUM(H7:H13)+D2</f>
        <v>0.21532999999999999</v>
      </c>
      <c r="L26" s="102">
        <f>SUM(H7:H13)+E2</f>
        <v>0.18353</v>
      </c>
      <c r="M26" s="102">
        <f>SUM(H7:H13)+F2</f>
        <v>0.34543000000000001</v>
      </c>
      <c r="N26" s="99"/>
    </row>
    <row r="27" spans="1:16" ht="15.6" thickBot="1" x14ac:dyDescent="0.3">
      <c r="J27" s="100"/>
      <c r="K27" s="103"/>
      <c r="L27" s="103"/>
      <c r="M27" s="103"/>
      <c r="N27" s="101"/>
    </row>
    <row r="28" spans="1:16" x14ac:dyDescent="0.25">
      <c r="A28"/>
    </row>
    <row r="29" spans="1:16" x14ac:dyDescent="0.25">
      <c r="A29" t="s">
        <v>27</v>
      </c>
      <c r="B29" s="95" t="s">
        <v>28</v>
      </c>
      <c r="C29" s="95"/>
      <c r="D29" s="95"/>
      <c r="E29" s="95"/>
      <c r="F29" s="95"/>
      <c r="G29" s="95"/>
      <c r="H29" s="95"/>
      <c r="J29" s="95"/>
      <c r="K29" s="95"/>
      <c r="L29" s="95"/>
      <c r="M29" s="95"/>
      <c r="N29" s="95"/>
    </row>
    <row r="30" spans="1:16" ht="71.25" customHeight="1" x14ac:dyDescent="0.25">
      <c r="A30"/>
      <c r="B30" s="110" t="s">
        <v>29</v>
      </c>
      <c r="C30" s="110"/>
      <c r="D30" s="110"/>
      <c r="E30" s="110"/>
      <c r="F30" s="110"/>
      <c r="G30" s="110"/>
      <c r="H30" s="110"/>
      <c r="I30" s="110"/>
      <c r="J30" s="110"/>
      <c r="K30" s="110"/>
      <c r="L30" s="110"/>
      <c r="M30" s="110"/>
      <c r="N30" s="110"/>
      <c r="O30" s="95"/>
      <c r="P30" s="95"/>
    </row>
    <row r="31" spans="1:16" ht="15" customHeight="1" x14ac:dyDescent="0.25">
      <c r="B31" s="94"/>
      <c r="C31" s="94"/>
      <c r="D31" s="94"/>
      <c r="E31" s="94"/>
      <c r="F31" s="94"/>
      <c r="G31" s="94"/>
      <c r="H31" s="94"/>
      <c r="I31" s="94"/>
      <c r="J31" s="94"/>
      <c r="K31" s="94"/>
      <c r="L31" s="94"/>
      <c r="M31" s="94"/>
      <c r="N31" s="94"/>
      <c r="O31" s="94"/>
      <c r="P31" s="94"/>
    </row>
    <row r="32" spans="1:16" x14ac:dyDescent="0.25">
      <c r="B32" s="94"/>
      <c r="C32" s="94"/>
      <c r="D32" s="94"/>
      <c r="E32" s="94"/>
      <c r="F32" s="94"/>
      <c r="G32" s="94"/>
      <c r="H32" s="94"/>
      <c r="I32" s="94"/>
      <c r="J32" s="94"/>
      <c r="K32" s="94"/>
      <c r="L32" s="94"/>
      <c r="M32" s="94"/>
      <c r="N32" s="94"/>
      <c r="O32" s="94"/>
      <c r="P32" s="94"/>
    </row>
    <row r="33" spans="9:16" ht="31.5" customHeight="1" x14ac:dyDescent="0.25">
      <c r="I33" s="94"/>
      <c r="J33" s="94"/>
      <c r="K33" s="94"/>
      <c r="L33" s="94"/>
      <c r="M33" s="94"/>
      <c r="N33" s="94"/>
      <c r="O33" s="94"/>
      <c r="P33" s="94"/>
    </row>
  </sheetData>
  <mergeCells count="6">
    <mergeCell ref="B30:N30"/>
    <mergeCell ref="A1:B1"/>
    <mergeCell ref="K3:N7"/>
    <mergeCell ref="K13:N16"/>
    <mergeCell ref="J18:N18"/>
    <mergeCell ref="J20:N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E76D-77A6-4E17-8F52-062E1071DC23}">
  <dimension ref="A1:P33"/>
  <sheetViews>
    <sheetView workbookViewId="0">
      <selection activeCell="A2" sqref="A2"/>
    </sheetView>
  </sheetViews>
  <sheetFormatPr defaultColWidth="9.109375" defaultRowHeight="15" x14ac:dyDescent="0.25"/>
  <cols>
    <col min="1" max="1" width="15.109375" style="1" bestFit="1" customWidth="1"/>
    <col min="2" max="2" width="23.88671875" style="1" customWidth="1"/>
    <col min="3" max="3" width="20.44140625" style="1" customWidth="1"/>
    <col min="4" max="4" width="14.6640625" style="2" customWidth="1"/>
    <col min="5" max="5" width="14.5546875" style="2" bestFit="1" customWidth="1"/>
    <col min="6" max="6" width="14.44140625" style="2" customWidth="1"/>
    <col min="7" max="7" width="3.109375" style="2" customWidth="1"/>
    <col min="8" max="8" width="17.33203125" style="3" bestFit="1" customWidth="1"/>
    <col min="9" max="9" width="9.109375" style="1"/>
    <col min="10" max="10" width="1.44140625" style="1" customWidth="1"/>
    <col min="11" max="13" width="10.33203125" style="1" bestFit="1" customWidth="1"/>
    <col min="14" max="14" width="9.109375" style="1"/>
    <col min="15" max="15" width="1.6640625" style="1" customWidth="1"/>
    <col min="16" max="16" width="9.109375" style="1"/>
    <col min="17" max="17" width="1.44140625" style="1" customWidth="1"/>
    <col min="18" max="16384" width="9.109375" style="1"/>
  </cols>
  <sheetData>
    <row r="1" spans="1:14" ht="16.2" thickBot="1" x14ac:dyDescent="0.35">
      <c r="A1" s="111" t="s">
        <v>85</v>
      </c>
      <c r="B1" s="111"/>
    </row>
    <row r="2" spans="1:14" ht="15.6" x14ac:dyDescent="0.3">
      <c r="D2" s="122">
        <v>0.1132</v>
      </c>
      <c r="E2" s="122">
        <v>8.5000000000000006E-2</v>
      </c>
      <c r="F2" s="122">
        <v>0.24</v>
      </c>
      <c r="G2" s="8"/>
      <c r="H2" s="9"/>
      <c r="J2" s="19"/>
      <c r="K2" s="20"/>
      <c r="L2" s="20"/>
      <c r="M2" s="20"/>
      <c r="N2" s="21"/>
    </row>
    <row r="3" spans="1:14" ht="38.4" x14ac:dyDescent="0.6">
      <c r="A3" s="4" t="s">
        <v>13</v>
      </c>
      <c r="D3" s="16" t="s">
        <v>19</v>
      </c>
      <c r="E3" s="16" t="s">
        <v>20</v>
      </c>
      <c r="F3" s="16" t="s">
        <v>21</v>
      </c>
      <c r="G3" s="17"/>
      <c r="H3" s="18" t="s">
        <v>22</v>
      </c>
      <c r="J3" s="22"/>
      <c r="K3" s="112" t="s">
        <v>16</v>
      </c>
      <c r="L3" s="112"/>
      <c r="M3" s="112"/>
      <c r="N3" s="113"/>
    </row>
    <row r="4" spans="1:14" ht="15" customHeight="1" x14ac:dyDescent="0.25">
      <c r="H4" s="10"/>
      <c r="J4" s="22"/>
      <c r="K4" s="112"/>
      <c r="L4" s="112"/>
      <c r="M4" s="112"/>
      <c r="N4" s="113"/>
    </row>
    <row r="5" spans="1:14" ht="15.6" x14ac:dyDescent="0.3">
      <c r="A5" s="7" t="s">
        <v>12</v>
      </c>
      <c r="B5" s="14">
        <v>55000</v>
      </c>
      <c r="C5" s="6"/>
      <c r="D5" s="5">
        <f>$B$5*D2</f>
        <v>6226</v>
      </c>
      <c r="E5" s="5">
        <f>$B$5*E2</f>
        <v>4675</v>
      </c>
      <c r="F5" s="5">
        <f>$B$5*F2</f>
        <v>13200</v>
      </c>
      <c r="G5" s="5"/>
      <c r="H5" s="11">
        <v>10910</v>
      </c>
      <c r="J5" s="22"/>
      <c r="K5" s="112"/>
      <c r="L5" s="112"/>
      <c r="M5" s="112"/>
      <c r="N5" s="113"/>
    </row>
    <row r="6" spans="1:14" x14ac:dyDescent="0.25">
      <c r="H6" s="10"/>
      <c r="J6" s="22"/>
      <c r="K6" s="112"/>
      <c r="L6" s="112"/>
      <c r="M6" s="112"/>
      <c r="N6" s="113"/>
    </row>
    <row r="7" spans="1:14" x14ac:dyDescent="0.25">
      <c r="B7" s="1" t="s">
        <v>11</v>
      </c>
      <c r="D7" s="2">
        <f t="shared" ref="D7:F13" si="0">$B$5*$H7</f>
        <v>550</v>
      </c>
      <c r="E7" s="2">
        <f t="shared" si="0"/>
        <v>550</v>
      </c>
      <c r="F7" s="2">
        <f t="shared" si="0"/>
        <v>550</v>
      </c>
      <c r="H7" s="120">
        <v>0.01</v>
      </c>
      <c r="J7" s="22"/>
      <c r="K7" s="112"/>
      <c r="L7" s="112"/>
      <c r="M7" s="112"/>
      <c r="N7" s="113"/>
    </row>
    <row r="8" spans="1:14" x14ac:dyDescent="0.25">
      <c r="B8" s="1" t="s">
        <v>10</v>
      </c>
      <c r="D8" s="2">
        <f t="shared" si="0"/>
        <v>3410</v>
      </c>
      <c r="E8" s="2">
        <f t="shared" si="0"/>
        <v>3410</v>
      </c>
      <c r="F8" s="2">
        <f t="shared" si="0"/>
        <v>3410</v>
      </c>
      <c r="H8" s="120">
        <v>6.2E-2</v>
      </c>
      <c r="J8" s="22"/>
      <c r="K8" s="23" t="s">
        <v>15</v>
      </c>
      <c r="L8" s="23"/>
      <c r="M8" s="23"/>
      <c r="N8" s="24"/>
    </row>
    <row r="9" spans="1:14" x14ac:dyDescent="0.25">
      <c r="B9" s="1" t="s">
        <v>9</v>
      </c>
      <c r="D9" s="2">
        <f t="shared" si="0"/>
        <v>797.5</v>
      </c>
      <c r="E9" s="2">
        <f t="shared" si="0"/>
        <v>797.5</v>
      </c>
      <c r="F9" s="2">
        <f t="shared" si="0"/>
        <v>797.5</v>
      </c>
      <c r="H9" s="120">
        <v>1.4500000000000001E-2</v>
      </c>
      <c r="J9" s="22"/>
      <c r="K9" s="23"/>
      <c r="L9" s="23"/>
      <c r="M9" s="23"/>
      <c r="N9" s="24"/>
    </row>
    <row r="10" spans="1:14" x14ac:dyDescent="0.25">
      <c r="B10" s="1" t="s">
        <v>8</v>
      </c>
      <c r="D10" s="2">
        <f t="shared" si="0"/>
        <v>0</v>
      </c>
      <c r="E10" s="2">
        <f t="shared" si="0"/>
        <v>0</v>
      </c>
      <c r="F10" s="2">
        <f t="shared" si="0"/>
        <v>0</v>
      </c>
      <c r="H10" s="120">
        <v>0</v>
      </c>
      <c r="J10" s="22"/>
      <c r="K10" s="23">
        <v>1</v>
      </c>
      <c r="L10" s="26" t="s">
        <v>17</v>
      </c>
      <c r="M10" s="26"/>
      <c r="N10" s="27"/>
    </row>
    <row r="11" spans="1:14" x14ac:dyDescent="0.25">
      <c r="B11" s="1" t="s">
        <v>7</v>
      </c>
      <c r="D11" s="2">
        <f t="shared" si="0"/>
        <v>341</v>
      </c>
      <c r="E11" s="2">
        <f t="shared" si="0"/>
        <v>341</v>
      </c>
      <c r="F11" s="2">
        <f t="shared" si="0"/>
        <v>341</v>
      </c>
      <c r="H11" s="120">
        <v>6.1999999999999998E-3</v>
      </c>
      <c r="J11" s="22"/>
      <c r="K11" s="23">
        <v>2</v>
      </c>
      <c r="L11" s="26" t="s">
        <v>18</v>
      </c>
      <c r="M11" s="26"/>
      <c r="N11" s="27"/>
    </row>
    <row r="12" spans="1:14" x14ac:dyDescent="0.25">
      <c r="B12" s="1" t="s">
        <v>6</v>
      </c>
      <c r="D12" s="2">
        <f t="shared" si="0"/>
        <v>56.1</v>
      </c>
      <c r="E12" s="2">
        <f t="shared" si="0"/>
        <v>56.1</v>
      </c>
      <c r="F12" s="2">
        <f t="shared" si="0"/>
        <v>56.1</v>
      </c>
      <c r="H12" s="120">
        <v>1.0200000000000001E-3</v>
      </c>
      <c r="J12" s="22"/>
      <c r="K12" s="23"/>
      <c r="L12" s="23"/>
      <c r="M12" s="23"/>
      <c r="N12" s="24"/>
    </row>
    <row r="13" spans="1:14" x14ac:dyDescent="0.25">
      <c r="B13" s="1" t="s">
        <v>5</v>
      </c>
      <c r="D13" s="2">
        <f t="shared" si="0"/>
        <v>247.49999999999997</v>
      </c>
      <c r="E13" s="2">
        <f t="shared" si="0"/>
        <v>247.49999999999997</v>
      </c>
      <c r="F13" s="2">
        <f t="shared" si="0"/>
        <v>247.49999999999997</v>
      </c>
      <c r="H13" s="120">
        <v>4.4999999999999997E-3</v>
      </c>
      <c r="J13" s="22"/>
      <c r="K13" s="112" t="s">
        <v>26</v>
      </c>
      <c r="L13" s="112"/>
      <c r="M13" s="112"/>
      <c r="N13" s="113"/>
    </row>
    <row r="14" spans="1:14" ht="15" customHeight="1" x14ac:dyDescent="0.25">
      <c r="H14" s="121"/>
      <c r="J14" s="22"/>
      <c r="K14" s="112"/>
      <c r="L14" s="112"/>
      <c r="M14" s="112"/>
      <c r="N14" s="113"/>
    </row>
    <row r="15" spans="1:14" x14ac:dyDescent="0.25">
      <c r="A15" s="1" t="s">
        <v>14</v>
      </c>
      <c r="J15" s="22"/>
      <c r="K15" s="112"/>
      <c r="L15" s="112"/>
      <c r="M15" s="112"/>
      <c r="N15" s="113"/>
    </row>
    <row r="16" spans="1:14" ht="15.6" thickBot="1" x14ac:dyDescent="0.3">
      <c r="B16" s="1" t="s">
        <v>23</v>
      </c>
      <c r="C16" s="15">
        <v>1</v>
      </c>
      <c r="D16" s="2">
        <f>C16*H5</f>
        <v>10910</v>
      </c>
      <c r="E16" s="2">
        <f>C16*H5</f>
        <v>10910</v>
      </c>
      <c r="F16" s="2">
        <f>C16*H5</f>
        <v>10910</v>
      </c>
      <c r="J16" s="25"/>
      <c r="K16" s="114"/>
      <c r="L16" s="114"/>
      <c r="M16" s="114"/>
      <c r="N16" s="115"/>
    </row>
    <row r="17" spans="1:16" ht="15.6" thickBot="1" x14ac:dyDescent="0.3"/>
    <row r="18" spans="1:16" ht="15.6" x14ac:dyDescent="0.3">
      <c r="A18" s="12" t="s">
        <v>4</v>
      </c>
      <c r="B18" s="12" t="s">
        <v>24</v>
      </c>
      <c r="C18" s="12"/>
      <c r="D18" s="13">
        <f>D5+D7+D8+D9+D10+D11+D12+D13+D16</f>
        <v>22538.1</v>
      </c>
      <c r="E18" s="13">
        <f>E5+E7+E8+E9+E10+E11+E12+E13+E16</f>
        <v>20987.1</v>
      </c>
      <c r="F18" s="13">
        <f>F5+F7+F8+F9+F10+F11+F12+F13+F16</f>
        <v>29512.1</v>
      </c>
      <c r="J18" s="116" t="s">
        <v>79</v>
      </c>
      <c r="K18" s="117"/>
      <c r="L18" s="117"/>
      <c r="M18" s="117"/>
      <c r="N18" s="118"/>
    </row>
    <row r="19" spans="1:16" ht="15.6" x14ac:dyDescent="0.3">
      <c r="A19" s="12" t="s">
        <v>4</v>
      </c>
      <c r="B19" s="12" t="s">
        <v>25</v>
      </c>
      <c r="C19" s="12"/>
      <c r="D19" s="13">
        <f>B5+D18</f>
        <v>77538.100000000006</v>
      </c>
      <c r="E19" s="13">
        <f>B5+E18</f>
        <v>75987.100000000006</v>
      </c>
      <c r="F19" s="13">
        <f>B5+F18</f>
        <v>84512.1</v>
      </c>
      <c r="J19" s="97"/>
      <c r="K19" s="98"/>
      <c r="L19" s="98"/>
      <c r="M19" s="98"/>
      <c r="N19" s="99"/>
    </row>
    <row r="20" spans="1:16" x14ac:dyDescent="0.25">
      <c r="J20" s="107" t="s">
        <v>82</v>
      </c>
      <c r="K20" s="108"/>
      <c r="L20" s="108"/>
      <c r="M20" s="108"/>
      <c r="N20" s="109"/>
    </row>
    <row r="21" spans="1:16" ht="15.6" x14ac:dyDescent="0.3">
      <c r="A21" s="4" t="s">
        <v>3</v>
      </c>
      <c r="B21" s="1" t="s">
        <v>2</v>
      </c>
      <c r="D21" s="2">
        <v>0</v>
      </c>
      <c r="E21" s="2">
        <f>E5+E7+E8+E9+E10+E11+E12+E13</f>
        <v>10077.1</v>
      </c>
      <c r="F21" s="2">
        <v>0</v>
      </c>
      <c r="J21" s="107"/>
      <c r="K21" s="108"/>
      <c r="L21" s="108"/>
      <c r="M21" s="108"/>
      <c r="N21" s="109"/>
    </row>
    <row r="22" spans="1:16" x14ac:dyDescent="0.25">
      <c r="J22" s="107"/>
      <c r="K22" s="108"/>
      <c r="L22" s="108"/>
      <c r="M22" s="108"/>
      <c r="N22" s="109"/>
    </row>
    <row r="23" spans="1:16" ht="16.2" x14ac:dyDescent="0.35">
      <c r="A23" s="4" t="s">
        <v>1</v>
      </c>
      <c r="B23" s="1" t="s">
        <v>0</v>
      </c>
      <c r="D23" s="2">
        <v>0</v>
      </c>
      <c r="E23" s="2">
        <f>E11+E12+E13</f>
        <v>644.6</v>
      </c>
      <c r="F23" s="2">
        <v>0</v>
      </c>
      <c r="H23" s="105"/>
      <c r="J23" s="97"/>
      <c r="K23" s="98"/>
      <c r="L23" s="98"/>
      <c r="M23" s="98"/>
      <c r="N23" s="99"/>
    </row>
    <row r="24" spans="1:16" x14ac:dyDescent="0.25">
      <c r="J24" s="97"/>
      <c r="K24" s="104" t="s">
        <v>80</v>
      </c>
      <c r="L24" s="104" t="s">
        <v>42</v>
      </c>
      <c r="M24" s="104" t="s">
        <v>81</v>
      </c>
      <c r="N24" s="99"/>
    </row>
    <row r="25" spans="1:16" x14ac:dyDescent="0.25">
      <c r="J25" s="97"/>
      <c r="K25" s="98"/>
      <c r="L25" s="98"/>
      <c r="M25" s="98"/>
      <c r="N25" s="99"/>
    </row>
    <row r="26" spans="1:16" x14ac:dyDescent="0.25">
      <c r="J26" s="97"/>
      <c r="K26" s="102">
        <f>SUM(H7:H13)+D2</f>
        <v>0.21142</v>
      </c>
      <c r="L26" s="102">
        <f>SUM(H7:H13)+E2</f>
        <v>0.18321999999999999</v>
      </c>
      <c r="M26" s="102">
        <f>SUM(H7:H13)+F2</f>
        <v>0.33821999999999997</v>
      </c>
      <c r="N26" s="99"/>
    </row>
    <row r="27" spans="1:16" ht="15.6" thickBot="1" x14ac:dyDescent="0.3">
      <c r="J27" s="100"/>
      <c r="K27" s="103"/>
      <c r="L27" s="103"/>
      <c r="M27" s="103"/>
      <c r="N27" s="101"/>
    </row>
    <row r="28" spans="1:16" x14ac:dyDescent="0.25">
      <c r="A28"/>
    </row>
    <row r="29" spans="1:16" x14ac:dyDescent="0.25">
      <c r="A29" t="s">
        <v>27</v>
      </c>
      <c r="B29" s="95" t="s">
        <v>28</v>
      </c>
      <c r="C29" s="95"/>
      <c r="D29" s="95"/>
      <c r="E29" s="95"/>
      <c r="F29" s="95"/>
      <c r="G29" s="95"/>
      <c r="H29" s="95"/>
      <c r="J29" s="95"/>
      <c r="K29" s="95"/>
      <c r="L29" s="95"/>
      <c r="M29" s="95"/>
      <c r="N29" s="95"/>
    </row>
    <row r="30" spans="1:16" ht="71.25" customHeight="1" x14ac:dyDescent="0.25">
      <c r="A30"/>
      <c r="B30" s="110" t="s">
        <v>29</v>
      </c>
      <c r="C30" s="110"/>
      <c r="D30" s="110"/>
      <c r="E30" s="110"/>
      <c r="F30" s="110"/>
      <c r="G30" s="110"/>
      <c r="H30" s="110"/>
      <c r="I30" s="110"/>
      <c r="J30" s="110"/>
      <c r="K30" s="110"/>
      <c r="L30" s="110"/>
      <c r="M30" s="110"/>
      <c r="N30" s="110"/>
      <c r="O30" s="95"/>
      <c r="P30" s="95"/>
    </row>
    <row r="31" spans="1:16" ht="15" customHeight="1" x14ac:dyDescent="0.25">
      <c r="B31" s="94"/>
      <c r="C31" s="94"/>
      <c r="D31" s="94"/>
      <c r="E31" s="94"/>
      <c r="F31" s="94"/>
      <c r="G31" s="94"/>
      <c r="H31" s="94"/>
      <c r="I31" s="94"/>
      <c r="J31" s="94"/>
      <c r="K31" s="94"/>
      <c r="L31" s="94"/>
      <c r="M31" s="94"/>
      <c r="N31" s="94"/>
      <c r="O31" s="94"/>
      <c r="P31" s="94"/>
    </row>
    <row r="32" spans="1:16" x14ac:dyDescent="0.25">
      <c r="B32" s="94"/>
      <c r="C32" s="94"/>
      <c r="D32" s="94"/>
      <c r="E32" s="94"/>
      <c r="F32" s="94"/>
      <c r="G32" s="94"/>
      <c r="H32" s="94"/>
      <c r="I32" s="94"/>
      <c r="J32" s="94"/>
      <c r="K32" s="94"/>
      <c r="L32" s="94"/>
      <c r="M32" s="94"/>
      <c r="N32" s="94"/>
      <c r="O32" s="94"/>
      <c r="P32" s="94"/>
    </row>
    <row r="33" spans="9:16" ht="31.5" customHeight="1" x14ac:dyDescent="0.25">
      <c r="I33" s="94"/>
      <c r="J33" s="94"/>
      <c r="K33" s="94"/>
      <c r="L33" s="94"/>
      <c r="M33" s="94"/>
      <c r="N33" s="94"/>
      <c r="O33" s="94"/>
      <c r="P33" s="94"/>
    </row>
  </sheetData>
  <mergeCells count="6">
    <mergeCell ref="A1:B1"/>
    <mergeCell ref="K3:N7"/>
    <mergeCell ref="K13:N16"/>
    <mergeCell ref="J18:N18"/>
    <mergeCell ref="J20:N22"/>
    <mergeCell ref="B30:N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B6DA8-A3AE-4EB2-87D7-E8E33892FC03}">
  <dimension ref="A1:T27"/>
  <sheetViews>
    <sheetView workbookViewId="0">
      <selection activeCell="H21" sqref="H21"/>
    </sheetView>
  </sheetViews>
  <sheetFormatPr defaultColWidth="9.109375" defaultRowHeight="14.4" x14ac:dyDescent="0.3"/>
  <cols>
    <col min="1" max="1" width="13.44140625" style="28" customWidth="1"/>
    <col min="2" max="2" width="60.33203125" style="28" bestFit="1" customWidth="1"/>
    <col min="3" max="3" width="26.88671875" style="30" customWidth="1"/>
    <col min="4" max="4" width="8.44140625" style="29" customWidth="1"/>
    <col min="5" max="5" width="9.109375" style="28"/>
    <col min="6" max="6" width="29.33203125" style="28" bestFit="1" customWidth="1"/>
    <col min="7" max="11" width="12.6640625" style="28" customWidth="1"/>
    <col min="12" max="12" width="9.109375" style="28"/>
    <col min="13" max="13" width="14.88671875" style="28" customWidth="1"/>
    <col min="14" max="14" width="10" style="28" customWidth="1"/>
    <col min="15" max="16" width="9.109375" style="28"/>
    <col min="17" max="17" width="14.44140625" style="28" customWidth="1"/>
    <col min="18" max="18" width="9.6640625" style="28" customWidth="1"/>
    <col min="19" max="16384" width="9.109375" style="28"/>
  </cols>
  <sheetData>
    <row r="1" spans="1:20" x14ac:dyDescent="0.3">
      <c r="A1" s="93" t="s">
        <v>78</v>
      </c>
      <c r="B1" s="93"/>
      <c r="M1" s="28" t="str">
        <f>'By Position (FY2025)'!A1</f>
        <v>FY 2025 ESTIMATED FRINGE RATES</v>
      </c>
      <c r="N1" s="28" t="str">
        <f>'By Position (FY2025)'!A1</f>
        <v>FY 2025 ESTIMATED FRINGE RATES</v>
      </c>
      <c r="O1" s="28" t="str">
        <f>'By Position (FY2025)'!A1</f>
        <v>FY 2025 ESTIMATED FRINGE RATES</v>
      </c>
    </row>
    <row r="2" spans="1:20" ht="58.2" thickBot="1" x14ac:dyDescent="0.35">
      <c r="A2" s="119" t="s">
        <v>77</v>
      </c>
      <c r="B2" s="119"/>
      <c r="M2" s="92" t="s">
        <v>49</v>
      </c>
      <c r="N2" s="92" t="s">
        <v>48</v>
      </c>
      <c r="O2" s="92" t="s">
        <v>47</v>
      </c>
    </row>
    <row r="3" spans="1:20" s="53" customFormat="1" x14ac:dyDescent="0.25">
      <c r="C3" s="60"/>
      <c r="D3" s="59"/>
      <c r="E3" s="91"/>
      <c r="F3" s="90"/>
      <c r="G3" s="89" t="s">
        <v>76</v>
      </c>
      <c r="H3" s="89" t="s">
        <v>75</v>
      </c>
      <c r="I3" s="89" t="s">
        <v>74</v>
      </c>
      <c r="J3" s="89" t="s">
        <v>73</v>
      </c>
      <c r="K3" s="88" t="s">
        <v>72</v>
      </c>
      <c r="M3" s="67" t="s">
        <v>40</v>
      </c>
      <c r="N3" s="67" t="s">
        <v>7</v>
      </c>
      <c r="O3" s="67" t="s">
        <v>5</v>
      </c>
      <c r="P3" s="54"/>
      <c r="Q3" s="54" t="s">
        <v>71</v>
      </c>
      <c r="R3" s="54"/>
      <c r="S3" s="54"/>
      <c r="T3" s="54"/>
    </row>
    <row r="4" spans="1:20" s="53" customFormat="1" ht="15" thickBot="1" x14ac:dyDescent="0.3">
      <c r="A4" s="66" t="s">
        <v>70</v>
      </c>
      <c r="B4" s="76" t="s">
        <v>69</v>
      </c>
      <c r="C4" s="87">
        <v>90000</v>
      </c>
      <c r="D4" s="74"/>
      <c r="E4" s="86" t="s">
        <v>68</v>
      </c>
      <c r="F4" s="85"/>
      <c r="G4" s="60"/>
      <c r="H4" s="84"/>
      <c r="I4" s="60"/>
      <c r="J4" s="60"/>
      <c r="K4" s="83"/>
      <c r="M4" s="82">
        <f>'By Position (FY2025)'!H12</f>
        <v>1.91E-3</v>
      </c>
      <c r="N4" s="82">
        <f>'By Position (FY2025)'!H11</f>
        <v>5.5999999999999999E-3</v>
      </c>
      <c r="O4" s="82">
        <f>'By Position (FY2025)'!H13</f>
        <v>4.4999999999999997E-3</v>
      </c>
      <c r="P4" s="54"/>
      <c r="Q4" s="54" t="s">
        <v>67</v>
      </c>
      <c r="R4" s="54"/>
      <c r="S4" s="54"/>
      <c r="T4" s="54"/>
    </row>
    <row r="5" spans="1:20" s="53" customFormat="1" x14ac:dyDescent="0.25">
      <c r="A5" s="66"/>
      <c r="B5" s="76"/>
      <c r="C5" s="75"/>
      <c r="D5" s="74"/>
      <c r="E5" s="58"/>
      <c r="G5" s="56"/>
      <c r="H5" s="57"/>
      <c r="I5" s="56"/>
      <c r="J5" s="56"/>
      <c r="K5" s="55"/>
      <c r="M5" s="54"/>
      <c r="N5" s="54"/>
      <c r="O5" s="54"/>
      <c r="P5" s="54"/>
      <c r="Q5" s="81" t="s">
        <v>66</v>
      </c>
      <c r="R5" s="54"/>
      <c r="S5" s="54"/>
      <c r="T5" s="54"/>
    </row>
    <row r="6" spans="1:20" s="53" customFormat="1" ht="15" thickBot="1" x14ac:dyDescent="0.3">
      <c r="A6" s="66" t="s">
        <v>65</v>
      </c>
      <c r="B6" s="53" t="s">
        <v>64</v>
      </c>
      <c r="C6" s="79">
        <v>0</v>
      </c>
      <c r="D6" s="59"/>
      <c r="E6" s="58" t="s">
        <v>32</v>
      </c>
      <c r="F6" s="53" t="s">
        <v>63</v>
      </c>
      <c r="G6" s="56"/>
      <c r="H6" s="57"/>
      <c r="I6" s="56">
        <f>-C6</f>
        <v>0</v>
      </c>
      <c r="J6" s="56">
        <f>SUM(G6:I6)</f>
        <v>0</v>
      </c>
      <c r="K6" s="55"/>
      <c r="M6" s="54"/>
      <c r="N6" s="54"/>
      <c r="O6" s="54"/>
      <c r="P6" s="54"/>
      <c r="Q6" s="80" t="s">
        <v>62</v>
      </c>
      <c r="R6" s="54"/>
      <c r="S6" s="54"/>
      <c r="T6" s="54"/>
    </row>
    <row r="7" spans="1:20" s="53" customFormat="1" x14ac:dyDescent="0.25">
      <c r="A7" s="66" t="s">
        <v>61</v>
      </c>
      <c r="B7" s="53" t="s">
        <v>60</v>
      </c>
      <c r="C7" s="79">
        <v>0</v>
      </c>
      <c r="D7" s="59"/>
      <c r="E7" s="58" t="s">
        <v>30</v>
      </c>
      <c r="F7" s="53" t="s">
        <v>59</v>
      </c>
      <c r="G7" s="56">
        <f>-C7</f>
        <v>0</v>
      </c>
      <c r="H7" s="57">
        <f>ROUND(G7*(M4+N4+O4),0)</f>
        <v>0</v>
      </c>
      <c r="I7" s="56"/>
      <c r="J7" s="56">
        <f>SUM(G7:I7)</f>
        <v>0</v>
      </c>
      <c r="K7" s="55"/>
      <c r="M7" s="54"/>
      <c r="N7" s="54"/>
      <c r="O7" s="54"/>
      <c r="P7" s="54"/>
      <c r="Q7" s="54"/>
      <c r="R7" s="54"/>
      <c r="S7" s="54"/>
      <c r="T7" s="54"/>
    </row>
    <row r="8" spans="1:20" s="53" customFormat="1" x14ac:dyDescent="0.25">
      <c r="A8" s="66"/>
      <c r="C8" s="65"/>
      <c r="D8" s="59"/>
      <c r="E8" s="58"/>
      <c r="G8" s="56"/>
      <c r="H8" s="57"/>
      <c r="I8" s="56"/>
      <c r="J8" s="56"/>
      <c r="K8" s="55"/>
      <c r="M8" s="54" t="s">
        <v>58</v>
      </c>
      <c r="N8" s="54"/>
      <c r="O8" s="54"/>
      <c r="P8" s="54"/>
      <c r="Q8" s="54"/>
      <c r="R8" s="54"/>
      <c r="S8" s="54"/>
      <c r="T8" s="54"/>
    </row>
    <row r="9" spans="1:20" s="53" customFormat="1" x14ac:dyDescent="0.25">
      <c r="A9" s="66"/>
      <c r="B9" s="78" t="s">
        <v>57</v>
      </c>
      <c r="C9" s="77">
        <f>C4-C6-C7+H7</f>
        <v>90000</v>
      </c>
      <c r="D9" s="74"/>
      <c r="E9" s="58"/>
      <c r="G9" s="56"/>
      <c r="H9" s="57"/>
      <c r="I9" s="56"/>
      <c r="J9" s="56"/>
      <c r="K9" s="55"/>
      <c r="M9" s="67" t="s">
        <v>56</v>
      </c>
      <c r="N9" s="54" t="s">
        <v>55</v>
      </c>
      <c r="O9" s="54"/>
      <c r="P9" s="54"/>
      <c r="Q9" s="54"/>
      <c r="R9" s="54"/>
      <c r="S9" s="54"/>
      <c r="T9" s="54"/>
    </row>
    <row r="10" spans="1:20" s="53" customFormat="1" x14ac:dyDescent="0.25">
      <c r="A10" s="66"/>
      <c r="B10" s="76"/>
      <c r="C10" s="75"/>
      <c r="D10" s="74"/>
      <c r="E10" s="58"/>
      <c r="G10" s="56"/>
      <c r="H10" s="57"/>
      <c r="I10" s="56"/>
      <c r="J10" s="56"/>
      <c r="K10" s="55"/>
      <c r="M10" s="73">
        <f>'By Position (FY2025)'!D16</f>
        <v>9435.84</v>
      </c>
      <c r="N10" s="54"/>
      <c r="O10" s="54"/>
      <c r="P10" s="54"/>
      <c r="Q10" s="54"/>
      <c r="R10" s="54"/>
      <c r="S10" s="54"/>
      <c r="T10" s="54"/>
    </row>
    <row r="11" spans="1:20" s="53" customFormat="1" ht="57.6" x14ac:dyDescent="0.25">
      <c r="A11" s="66" t="s">
        <v>54</v>
      </c>
      <c r="B11" s="53" t="s">
        <v>53</v>
      </c>
      <c r="C11" s="72">
        <v>1</v>
      </c>
      <c r="D11" s="59"/>
      <c r="E11" s="58" t="s">
        <v>32</v>
      </c>
      <c r="F11" s="53" t="s">
        <v>52</v>
      </c>
      <c r="G11" s="56"/>
      <c r="H11" s="57">
        <f>-ROUND(M10*C11,0)</f>
        <v>-9436</v>
      </c>
      <c r="I11" s="56"/>
      <c r="J11" s="56">
        <f>SUM(G11:I11)</f>
        <v>-9436</v>
      </c>
      <c r="K11" s="71">
        <f>-C11</f>
        <v>-1</v>
      </c>
      <c r="M11" s="54"/>
      <c r="N11" s="70" t="s">
        <v>51</v>
      </c>
      <c r="O11" s="54"/>
      <c r="P11" s="54"/>
      <c r="Q11" s="70" t="s">
        <v>50</v>
      </c>
      <c r="R11" s="70" t="s">
        <v>49</v>
      </c>
      <c r="S11" s="70" t="s">
        <v>48</v>
      </c>
      <c r="T11" s="70" t="s">
        <v>47</v>
      </c>
    </row>
    <row r="12" spans="1:20" s="53" customFormat="1" x14ac:dyDescent="0.25">
      <c r="A12" s="66" t="s">
        <v>46</v>
      </c>
      <c r="B12" s="53" t="s">
        <v>45</v>
      </c>
      <c r="C12" s="69">
        <f>ROUND((C9+H11)/(1+(M13+N13+O13+P13+Q13+R13+S13+T13)),0)</f>
        <v>68072</v>
      </c>
      <c r="D12" s="59"/>
      <c r="E12" s="58" t="s">
        <v>32</v>
      </c>
      <c r="F12" s="53" t="s">
        <v>44</v>
      </c>
      <c r="G12" s="56">
        <f>-C12</f>
        <v>-68072</v>
      </c>
      <c r="H12" s="57">
        <f>ROUND(-C12*(M13+N13+O13+P13+Q13+R13+S13+T13),0)</f>
        <v>-12492</v>
      </c>
      <c r="I12" s="56"/>
      <c r="J12" s="56">
        <f>SUM(G12:I12)</f>
        <v>-80564</v>
      </c>
      <c r="K12" s="55"/>
      <c r="M12" s="68" t="s">
        <v>43</v>
      </c>
      <c r="N12" s="67" t="s">
        <v>42</v>
      </c>
      <c r="O12" s="67" t="s">
        <v>10</v>
      </c>
      <c r="P12" s="67" t="s">
        <v>9</v>
      </c>
      <c r="Q12" s="67" t="s">
        <v>41</v>
      </c>
      <c r="R12" s="67" t="s">
        <v>40</v>
      </c>
      <c r="S12" s="67" t="s">
        <v>7</v>
      </c>
      <c r="T12" s="67" t="s">
        <v>5</v>
      </c>
    </row>
    <row r="13" spans="1:20" s="53" customFormat="1" x14ac:dyDescent="0.25">
      <c r="A13" s="66"/>
      <c r="C13" s="65"/>
      <c r="D13" s="59"/>
      <c r="E13" s="58"/>
      <c r="G13" s="56"/>
      <c r="H13" s="57"/>
      <c r="I13" s="56"/>
      <c r="J13" s="56"/>
      <c r="K13" s="55"/>
      <c r="M13" s="64">
        <f>'By Position (FY2025)'!H7</f>
        <v>0.01</v>
      </c>
      <c r="N13" s="63">
        <f>'By Position (FY2025)'!E2</f>
        <v>8.5000000000000006E-2</v>
      </c>
      <c r="O13" s="63">
        <f>'By Position (FY2025)'!H8</f>
        <v>6.2E-2</v>
      </c>
      <c r="P13" s="63">
        <f>'By Position (FY2025)'!H9</f>
        <v>1.4500000000000001E-2</v>
      </c>
      <c r="Q13" s="63">
        <f>'By Position (FY2025)'!H10</f>
        <v>0</v>
      </c>
      <c r="R13" s="62">
        <f>'By Position (FY2025)'!H12</f>
        <v>1.91E-3</v>
      </c>
      <c r="S13" s="62">
        <f>'By Position (FY2025)'!H11</f>
        <v>5.5999999999999999E-3</v>
      </c>
      <c r="T13" s="61">
        <f>'By Position (FY2025)'!H13</f>
        <v>4.4999999999999997E-3</v>
      </c>
    </row>
    <row r="14" spans="1:20" s="53" customFormat="1" x14ac:dyDescent="0.25">
      <c r="C14" s="60"/>
      <c r="D14" s="59"/>
      <c r="E14" s="58"/>
      <c r="G14" s="56"/>
      <c r="H14" s="57"/>
      <c r="I14" s="56"/>
      <c r="J14" s="56"/>
      <c r="K14" s="55"/>
      <c r="M14" s="54"/>
      <c r="N14" s="54"/>
      <c r="O14" s="54"/>
      <c r="P14" s="54"/>
      <c r="Q14" s="54"/>
      <c r="R14" s="54"/>
      <c r="S14" s="54"/>
      <c r="T14" s="54"/>
    </row>
    <row r="15" spans="1:20" x14ac:dyDescent="0.3">
      <c r="B15" s="28" t="s">
        <v>39</v>
      </c>
      <c r="E15" s="52"/>
      <c r="F15" s="51"/>
      <c r="G15" s="49"/>
      <c r="H15" s="50"/>
      <c r="I15" s="49"/>
      <c r="J15" s="49"/>
      <c r="K15" s="44"/>
      <c r="M15" s="48"/>
      <c r="N15" s="48"/>
      <c r="O15" s="48"/>
      <c r="P15" s="48"/>
      <c r="Q15" s="48"/>
      <c r="R15" s="48"/>
      <c r="S15" s="48"/>
      <c r="T15" s="48"/>
    </row>
    <row r="16" spans="1:20" x14ac:dyDescent="0.3">
      <c r="B16" s="28" t="s">
        <v>38</v>
      </c>
      <c r="E16" s="46"/>
      <c r="G16" s="49"/>
      <c r="H16" s="50"/>
      <c r="I16" s="49"/>
      <c r="J16" s="49">
        <f>SUM(J5:J14)</f>
        <v>-90000</v>
      </c>
      <c r="K16" s="44"/>
      <c r="M16" s="48"/>
      <c r="N16" s="48"/>
      <c r="O16" s="48"/>
      <c r="P16" s="48"/>
      <c r="Q16" s="48"/>
      <c r="R16" s="48"/>
      <c r="S16" s="48"/>
      <c r="T16" s="48"/>
    </row>
    <row r="17" spans="1:17" x14ac:dyDescent="0.3">
      <c r="A17" s="28" t="s">
        <v>37</v>
      </c>
      <c r="B17" s="32">
        <v>47862</v>
      </c>
      <c r="C17" s="30">
        <v>1</v>
      </c>
      <c r="E17" s="46"/>
      <c r="G17" s="45"/>
      <c r="H17" s="47"/>
      <c r="I17" s="45"/>
      <c r="J17" s="45"/>
      <c r="K17" s="44"/>
    </row>
    <row r="18" spans="1:17" x14ac:dyDescent="0.3">
      <c r="A18" s="28" t="s">
        <v>36</v>
      </c>
      <c r="B18" s="32">
        <v>32000</v>
      </c>
      <c r="C18" s="30">
        <v>1</v>
      </c>
      <c r="E18" s="46"/>
      <c r="G18" s="45"/>
      <c r="H18" s="45"/>
      <c r="I18" s="45"/>
      <c r="J18" s="45"/>
      <c r="K18" s="44"/>
      <c r="Q18" s="35"/>
    </row>
    <row r="19" spans="1:17" ht="15" thickBot="1" x14ac:dyDescent="0.35">
      <c r="A19" s="28" t="s">
        <v>35</v>
      </c>
      <c r="B19" s="32">
        <f>19500-2167-2156</f>
        <v>15177</v>
      </c>
      <c r="C19" s="30">
        <v>1</v>
      </c>
      <c r="E19" s="43"/>
      <c r="F19" s="42"/>
      <c r="G19" s="42"/>
      <c r="H19" s="42"/>
      <c r="I19" s="42"/>
      <c r="J19" s="42"/>
      <c r="K19" s="41"/>
    </row>
    <row r="20" spans="1:17" x14ac:dyDescent="0.3">
      <c r="K20" s="36"/>
    </row>
    <row r="21" spans="1:17" x14ac:dyDescent="0.3">
      <c r="K21" s="36"/>
      <c r="Q21" s="40"/>
    </row>
    <row r="22" spans="1:17" x14ac:dyDescent="0.3">
      <c r="K22" s="36"/>
      <c r="Q22" s="39"/>
    </row>
    <row r="23" spans="1:17" x14ac:dyDescent="0.3">
      <c r="A23" s="28" t="s">
        <v>34</v>
      </c>
      <c r="B23" s="38">
        <f>SUM(B17:B19)</f>
        <v>95039</v>
      </c>
      <c r="C23" s="37">
        <f>SUM(C17:C19)</f>
        <v>3</v>
      </c>
      <c r="K23" s="36"/>
      <c r="Q23" s="35"/>
    </row>
    <row r="24" spans="1:17" ht="72" x14ac:dyDescent="0.3">
      <c r="B24" s="31">
        <f>B23-C12</f>
        <v>26967</v>
      </c>
      <c r="C24" s="34" t="s">
        <v>33</v>
      </c>
      <c r="E24" s="28">
        <f>112</f>
        <v>112</v>
      </c>
      <c r="Q24" s="33"/>
    </row>
    <row r="25" spans="1:17" x14ac:dyDescent="0.3">
      <c r="B25" s="31"/>
      <c r="E25" s="28" t="s">
        <v>32</v>
      </c>
      <c r="F25" s="28" t="s">
        <v>31</v>
      </c>
      <c r="G25" s="30">
        <f>-SUM(G11:G13)</f>
        <v>68072</v>
      </c>
      <c r="I25" s="30">
        <f>-I6-SUM(I11:I13)</f>
        <v>0</v>
      </c>
    </row>
    <row r="26" spans="1:17" x14ac:dyDescent="0.3">
      <c r="B26" s="31"/>
      <c r="C26" s="32">
        <f>C23-C11</f>
        <v>2</v>
      </c>
      <c r="E26" s="28" t="s">
        <v>30</v>
      </c>
      <c r="F26" s="28" t="s">
        <v>1</v>
      </c>
      <c r="G26" s="30">
        <f>-G7</f>
        <v>0</v>
      </c>
    </row>
    <row r="27" spans="1:17" x14ac:dyDescent="0.3">
      <c r="B27" s="31"/>
    </row>
  </sheetData>
  <sheetProtection algorithmName="SHA-512" hashValue="r7AgGVsFMJRgR/kdVzBP8SMUSN1JTHsEIHH815O3JzYqDYVrUCsz/AXigm1sLFw9avKcDEMuWVHrhUcFOxNlFw==" saltValue="jz8oIPTchF7FGRt8zn/G2w==" spinCount="100000" sheet="1" objects="1" scenarios="1"/>
  <mergeCells count="1">
    <mergeCell ref="A2:B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Position (FY2025)</vt:lpstr>
      <vt:lpstr>By Position (FY2026)</vt:lpstr>
      <vt:lpstr>By Position (FY2027)</vt:lpstr>
      <vt:lpstr>redux if necessary</vt:lpstr>
    </vt:vector>
  </TitlesOfParts>
  <Company>The 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Waller, Robert</dc:creator>
  <cp:lastModifiedBy>Richey, Mary Ann</cp:lastModifiedBy>
  <dcterms:created xsi:type="dcterms:W3CDTF">2020-06-22T19:33:04Z</dcterms:created>
  <dcterms:modified xsi:type="dcterms:W3CDTF">2025-10-07T19:25:45Z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